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"/>
    </mc:Choice>
  </mc:AlternateContent>
  <xr:revisionPtr revIDLastSave="0" documentId="8_{33121B39-BBF1-4D4D-A0C1-0FCA01F2774E}" xr6:coauthVersionLast="47" xr6:coauthVersionMax="47" xr10:uidLastSave="{00000000-0000-0000-0000-000000000000}"/>
  <bookViews>
    <workbookView xWindow="-28920" yWindow="-1215" windowWidth="29040" windowHeight="15720" tabRatio="898" xr2:uid="{00000000-000D-0000-FFFF-FFFF00000000}"/>
  </bookViews>
  <sheets>
    <sheet name="สรุปการคำนวณ ปี 2568" sheetId="9" r:id="rId1"/>
    <sheet name="CH4จากบ่อบำบัดไม่เติมอากาศ " sheetId="5" r:id="rId2"/>
    <sheet name="CH4จากseptic tank" sheetId="4" r:id="rId3"/>
    <sheet name="สรุปการคำนวณ ปีฐาน" sheetId="8" r:id="rId4"/>
    <sheet name="EF TGO AR5" sheetId="6" r:id="rId5"/>
  </sheets>
  <externalReferences>
    <externalReference r:id="rId6"/>
    <externalReference r:id="rId7"/>
    <externalReference r:id="rId8"/>
    <externalReference r:id="rId9"/>
  </externalReferences>
  <definedNames>
    <definedName name="\0" localSheetId="4">#REF!</definedName>
    <definedName name="\0" localSheetId="3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2568'!$A$1:$AE$123</definedName>
    <definedName name="_xlnm.Print_Area" localSheetId="3">'สรุปการคำนวณ ปีฐาน'!$A$1:$AE$43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โส_1">'[4]ก_ย_ _2_'!#REF!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9" l="1"/>
  <c r="D77" i="9"/>
  <c r="D72" i="9"/>
  <c r="D42" i="9"/>
  <c r="F39" i="9"/>
  <c r="D41" i="9"/>
  <c r="D40" i="9"/>
  <c r="D39" i="9"/>
  <c r="E39" i="9"/>
  <c r="G21" i="9" l="1"/>
  <c r="O21" i="9" l="1"/>
  <c r="M21" i="9"/>
  <c r="K21" i="9"/>
  <c r="I21" i="9"/>
  <c r="Q69" i="9"/>
  <c r="P69" i="9"/>
  <c r="Q68" i="9"/>
  <c r="P68" i="9"/>
  <c r="N66" i="9"/>
  <c r="J66" i="9"/>
  <c r="F66" i="9"/>
  <c r="N64" i="9"/>
  <c r="J64" i="9"/>
  <c r="F64" i="9"/>
  <c r="F62" i="9"/>
  <c r="L61" i="9"/>
  <c r="H61" i="9"/>
  <c r="D61" i="9"/>
  <c r="O60" i="9"/>
  <c r="N60" i="9"/>
  <c r="M60" i="9"/>
  <c r="L60" i="9"/>
  <c r="K60" i="9"/>
  <c r="J60" i="9"/>
  <c r="I60" i="9"/>
  <c r="H60" i="9"/>
  <c r="G60" i="9"/>
  <c r="F60" i="9"/>
  <c r="E60" i="9"/>
  <c r="D60" i="9"/>
  <c r="Q60" i="9" s="1"/>
  <c r="N57" i="9"/>
  <c r="L57" i="9"/>
  <c r="J57" i="9"/>
  <c r="H57" i="9"/>
  <c r="F57" i="9"/>
  <c r="D57" i="9"/>
  <c r="Q57" i="9" s="1"/>
  <c r="N56" i="9"/>
  <c r="J56" i="9"/>
  <c r="F56" i="9"/>
  <c r="N55" i="9"/>
  <c r="L55" i="9"/>
  <c r="J55" i="9"/>
  <c r="H55" i="9"/>
  <c r="F55" i="9"/>
  <c r="E55" i="9"/>
  <c r="P54" i="9"/>
  <c r="N54" i="9"/>
  <c r="L54" i="9"/>
  <c r="J54" i="9"/>
  <c r="I54" i="9"/>
  <c r="H54" i="9"/>
  <c r="G54" i="9"/>
  <c r="F54" i="9"/>
  <c r="E54" i="9"/>
  <c r="D54" i="9"/>
  <c r="L53" i="9"/>
  <c r="H53" i="9"/>
  <c r="D53" i="9"/>
  <c r="N52" i="9"/>
  <c r="L52" i="9"/>
  <c r="J52" i="9"/>
  <c r="H52" i="9"/>
  <c r="F52" i="9"/>
  <c r="D52" i="9"/>
  <c r="F42" i="9"/>
  <c r="F41" i="9"/>
  <c r="F40" i="9"/>
  <c r="AD25" i="9"/>
  <c r="O67" i="9" s="1"/>
  <c r="AB25" i="9"/>
  <c r="N67" i="9" s="1"/>
  <c r="Z25" i="9"/>
  <c r="M67" i="9" s="1"/>
  <c r="X25" i="9"/>
  <c r="L67" i="9" s="1"/>
  <c r="V25" i="9"/>
  <c r="K67" i="9" s="1"/>
  <c r="T25" i="9"/>
  <c r="J67" i="9" s="1"/>
  <c r="R25" i="9"/>
  <c r="I67" i="9" s="1"/>
  <c r="P25" i="9"/>
  <c r="H67" i="9" s="1"/>
  <c r="N25" i="9"/>
  <c r="G67" i="9" s="1"/>
  <c r="L25" i="9"/>
  <c r="F67" i="9" s="1"/>
  <c r="J25" i="9"/>
  <c r="E67" i="9" s="1"/>
  <c r="H25" i="9"/>
  <c r="D67" i="9" s="1"/>
  <c r="AD24" i="9"/>
  <c r="O66" i="9" s="1"/>
  <c r="AB24" i="9"/>
  <c r="Z24" i="9"/>
  <c r="M66" i="9" s="1"/>
  <c r="X24" i="9"/>
  <c r="L66" i="9" s="1"/>
  <c r="V24" i="9"/>
  <c r="K66" i="9" s="1"/>
  <c r="T24" i="9"/>
  <c r="R24" i="9"/>
  <c r="I66" i="9" s="1"/>
  <c r="P24" i="9"/>
  <c r="H66" i="9" s="1"/>
  <c r="N24" i="9"/>
  <c r="G66" i="9" s="1"/>
  <c r="L24" i="9"/>
  <c r="J24" i="9"/>
  <c r="E66" i="9" s="1"/>
  <c r="H24" i="9"/>
  <c r="D66" i="9" s="1"/>
  <c r="AD23" i="9"/>
  <c r="O65" i="9" s="1"/>
  <c r="AB23" i="9"/>
  <c r="N65" i="9" s="1"/>
  <c r="Z23" i="9"/>
  <c r="M65" i="9" s="1"/>
  <c r="X23" i="9"/>
  <c r="L65" i="9" s="1"/>
  <c r="V23" i="9"/>
  <c r="K65" i="9" s="1"/>
  <c r="T23" i="9"/>
  <c r="J65" i="9" s="1"/>
  <c r="R23" i="9"/>
  <c r="I65" i="9" s="1"/>
  <c r="P23" i="9"/>
  <c r="H65" i="9" s="1"/>
  <c r="N23" i="9"/>
  <c r="G65" i="9" s="1"/>
  <c r="L23" i="9"/>
  <c r="F65" i="9" s="1"/>
  <c r="J23" i="9"/>
  <c r="E65" i="9" s="1"/>
  <c r="H23" i="9"/>
  <c r="D65" i="9" s="1"/>
  <c r="AD22" i="9"/>
  <c r="O64" i="9" s="1"/>
  <c r="AB22" i="9"/>
  <c r="Z22" i="9"/>
  <c r="M64" i="9" s="1"/>
  <c r="X22" i="9"/>
  <c r="L64" i="9" s="1"/>
  <c r="V22" i="9"/>
  <c r="K64" i="9" s="1"/>
  <c r="T22" i="9"/>
  <c r="R22" i="9"/>
  <c r="I64" i="9" s="1"/>
  <c r="P22" i="9"/>
  <c r="H64" i="9" s="1"/>
  <c r="N22" i="9"/>
  <c r="G64" i="9" s="1"/>
  <c r="L22" i="9"/>
  <c r="J22" i="9"/>
  <c r="E64" i="9" s="1"/>
  <c r="H22" i="9"/>
  <c r="D64" i="9" s="1"/>
  <c r="AD21" i="9"/>
  <c r="O63" i="9" s="1"/>
  <c r="AB21" i="9"/>
  <c r="N63" i="9" s="1"/>
  <c r="Z21" i="9"/>
  <c r="M63" i="9" s="1"/>
  <c r="X21" i="9"/>
  <c r="L63" i="9" s="1"/>
  <c r="V21" i="9"/>
  <c r="K63" i="9" s="1"/>
  <c r="T21" i="9"/>
  <c r="J63" i="9" s="1"/>
  <c r="R21" i="9"/>
  <c r="I63" i="9" s="1"/>
  <c r="P21" i="9"/>
  <c r="H63" i="9" s="1"/>
  <c r="N21" i="9"/>
  <c r="G63" i="9" s="1"/>
  <c r="L21" i="9"/>
  <c r="F63" i="9" s="1"/>
  <c r="J21" i="9"/>
  <c r="E63" i="9" s="1"/>
  <c r="H21" i="9"/>
  <c r="AE21" i="9" s="1"/>
  <c r="AD20" i="9"/>
  <c r="O62" i="9" s="1"/>
  <c r="AB20" i="9"/>
  <c r="N62" i="9" s="1"/>
  <c r="Z20" i="9"/>
  <c r="M62" i="9" s="1"/>
  <c r="X20" i="9"/>
  <c r="L62" i="9" s="1"/>
  <c r="V20" i="9"/>
  <c r="K62" i="9" s="1"/>
  <c r="T20" i="9"/>
  <c r="J62" i="9" s="1"/>
  <c r="R20" i="9"/>
  <c r="I62" i="9" s="1"/>
  <c r="P20" i="9"/>
  <c r="H62" i="9" s="1"/>
  <c r="N20" i="9"/>
  <c r="G62" i="9" s="1"/>
  <c r="L20" i="9"/>
  <c r="J20" i="9"/>
  <c r="E62" i="9" s="1"/>
  <c r="H20" i="9"/>
  <c r="AD19" i="9"/>
  <c r="O61" i="9" s="1"/>
  <c r="AB19" i="9"/>
  <c r="N61" i="9" s="1"/>
  <c r="Z19" i="9"/>
  <c r="M61" i="9" s="1"/>
  <c r="X19" i="9"/>
  <c r="V19" i="9"/>
  <c r="K61" i="9" s="1"/>
  <c r="T19" i="9"/>
  <c r="J61" i="9" s="1"/>
  <c r="R19" i="9"/>
  <c r="I61" i="9" s="1"/>
  <c r="P19" i="9"/>
  <c r="N19" i="9"/>
  <c r="G61" i="9" s="1"/>
  <c r="L19" i="9"/>
  <c r="F61" i="9" s="1"/>
  <c r="J19" i="9"/>
  <c r="E61" i="9" s="1"/>
  <c r="H19" i="9"/>
  <c r="AE19" i="9" s="1"/>
  <c r="AD17" i="9"/>
  <c r="O59" i="9" s="1"/>
  <c r="AC17" i="9"/>
  <c r="AB17" i="9"/>
  <c r="N59" i="9" s="1"/>
  <c r="AA17" i="9"/>
  <c r="Z17" i="9"/>
  <c r="M59" i="9" s="1"/>
  <c r="Y17" i="9"/>
  <c r="X17" i="9"/>
  <c r="L59" i="9" s="1"/>
  <c r="W17" i="9"/>
  <c r="V17" i="9"/>
  <c r="K59" i="9" s="1"/>
  <c r="U17" i="9"/>
  <c r="T17" i="9"/>
  <c r="J59" i="9" s="1"/>
  <c r="S17" i="9"/>
  <c r="AC16" i="9"/>
  <c r="AD16" i="9" s="1"/>
  <c r="O58" i="9" s="1"/>
  <c r="AA16" i="9"/>
  <c r="AB16" i="9" s="1"/>
  <c r="N58" i="9" s="1"/>
  <c r="Y16" i="9"/>
  <c r="Z16" i="9" s="1"/>
  <c r="M58" i="9" s="1"/>
  <c r="W16" i="9"/>
  <c r="X16" i="9" s="1"/>
  <c r="L58" i="9" s="1"/>
  <c r="U16" i="9"/>
  <c r="V16" i="9" s="1"/>
  <c r="K58" i="9" s="1"/>
  <c r="S16" i="9"/>
  <c r="T16" i="9" s="1"/>
  <c r="J58" i="9" s="1"/>
  <c r="Q16" i="9"/>
  <c r="R16" i="9" s="1"/>
  <c r="I58" i="9" s="1"/>
  <c r="O16" i="9"/>
  <c r="P16" i="9" s="1"/>
  <c r="H58" i="9" s="1"/>
  <c r="M16" i="9"/>
  <c r="N16" i="9" s="1"/>
  <c r="G58" i="9" s="1"/>
  <c r="K16" i="9"/>
  <c r="L16" i="9" s="1"/>
  <c r="F58" i="9" s="1"/>
  <c r="I16" i="9"/>
  <c r="J16" i="9" s="1"/>
  <c r="E58" i="9" s="1"/>
  <c r="G16" i="9"/>
  <c r="H16" i="9" s="1"/>
  <c r="D58" i="9" s="1"/>
  <c r="AD15" i="9"/>
  <c r="O57" i="9" s="1"/>
  <c r="AB15" i="9"/>
  <c r="Z15" i="9"/>
  <c r="M57" i="9" s="1"/>
  <c r="X15" i="9"/>
  <c r="V15" i="9"/>
  <c r="K57" i="9" s="1"/>
  <c r="T15" i="9"/>
  <c r="R15" i="9"/>
  <c r="I57" i="9" s="1"/>
  <c r="P15" i="9"/>
  <c r="N15" i="9"/>
  <c r="G57" i="9" s="1"/>
  <c r="L15" i="9"/>
  <c r="J15" i="9"/>
  <c r="E57" i="9" s="1"/>
  <c r="H15" i="9"/>
  <c r="AE15" i="9" s="1"/>
  <c r="AD14" i="9"/>
  <c r="O56" i="9" s="1"/>
  <c r="AB14" i="9"/>
  <c r="Z14" i="9"/>
  <c r="M56" i="9" s="1"/>
  <c r="X14" i="9"/>
  <c r="L56" i="9" s="1"/>
  <c r="V14" i="9"/>
  <c r="K56" i="9" s="1"/>
  <c r="T14" i="9"/>
  <c r="R14" i="9"/>
  <c r="I56" i="9" s="1"/>
  <c r="P14" i="9"/>
  <c r="H56" i="9" s="1"/>
  <c r="N14" i="9"/>
  <c r="G56" i="9" s="1"/>
  <c r="L14" i="9"/>
  <c r="J14" i="9"/>
  <c r="E56" i="9" s="1"/>
  <c r="H14" i="9"/>
  <c r="D56" i="9" s="1"/>
  <c r="AD13" i="9"/>
  <c r="O55" i="9" s="1"/>
  <c r="AB13" i="9"/>
  <c r="Z13" i="9"/>
  <c r="M55" i="9" s="1"/>
  <c r="X13" i="9"/>
  <c r="V13" i="9"/>
  <c r="K55" i="9" s="1"/>
  <c r="T13" i="9"/>
  <c r="R13" i="9"/>
  <c r="I55" i="9" s="1"/>
  <c r="P13" i="9"/>
  <c r="N13" i="9"/>
  <c r="G55" i="9" s="1"/>
  <c r="L13" i="9"/>
  <c r="H13" i="9"/>
  <c r="AE13" i="9" s="1"/>
  <c r="AD12" i="9"/>
  <c r="O54" i="9" s="1"/>
  <c r="AB12" i="9"/>
  <c r="Z12" i="9"/>
  <c r="M54" i="9" s="1"/>
  <c r="X12" i="9"/>
  <c r="V12" i="9"/>
  <c r="K54" i="9" s="1"/>
  <c r="T12" i="9"/>
  <c r="AE12" i="9" s="1"/>
  <c r="AD9" i="9"/>
  <c r="O53" i="9" s="1"/>
  <c r="AB9" i="9"/>
  <c r="N53" i="9" s="1"/>
  <c r="Z9" i="9"/>
  <c r="M53" i="9" s="1"/>
  <c r="X9" i="9"/>
  <c r="V9" i="9"/>
  <c r="K53" i="9" s="1"/>
  <c r="T9" i="9"/>
  <c r="J53" i="9" s="1"/>
  <c r="R9" i="9"/>
  <c r="I53" i="9" s="1"/>
  <c r="P9" i="9"/>
  <c r="N9" i="9"/>
  <c r="G53" i="9" s="1"/>
  <c r="L9" i="9"/>
  <c r="F53" i="9" s="1"/>
  <c r="J9" i="9"/>
  <c r="E53" i="9" s="1"/>
  <c r="H9" i="9"/>
  <c r="AE9" i="9" s="1"/>
  <c r="AD8" i="9"/>
  <c r="O52" i="9" s="1"/>
  <c r="O70" i="9" s="1"/>
  <c r="AB8" i="9"/>
  <c r="Z8" i="9"/>
  <c r="M52" i="9" s="1"/>
  <c r="M70" i="9" s="1"/>
  <c r="X8" i="9"/>
  <c r="V8" i="9"/>
  <c r="K52" i="9" s="1"/>
  <c r="K70" i="9" s="1"/>
  <c r="T8" i="9"/>
  <c r="R8" i="9"/>
  <c r="I52" i="9" s="1"/>
  <c r="P8" i="9"/>
  <c r="N8" i="9"/>
  <c r="G52" i="9" s="1"/>
  <c r="L8" i="9"/>
  <c r="J8" i="9"/>
  <c r="E52" i="9" s="1"/>
  <c r="H8" i="9"/>
  <c r="F4" i="4"/>
  <c r="AE20" i="9" l="1"/>
  <c r="E40" i="9" s="1"/>
  <c r="D62" i="9"/>
  <c r="P62" i="9" s="1"/>
  <c r="Q65" i="9"/>
  <c r="P65" i="9"/>
  <c r="P53" i="9"/>
  <c r="Q56" i="9"/>
  <c r="P56" i="9"/>
  <c r="Q58" i="9"/>
  <c r="P58" i="9"/>
  <c r="O74" i="9"/>
  <c r="Q66" i="9"/>
  <c r="P66" i="9"/>
  <c r="AD26" i="9"/>
  <c r="N70" i="9"/>
  <c r="D63" i="9"/>
  <c r="K74" i="9"/>
  <c r="M74" i="9"/>
  <c r="AE16" i="9"/>
  <c r="Q67" i="9"/>
  <c r="P67" i="9"/>
  <c r="AE25" i="9"/>
  <c r="V26" i="9"/>
  <c r="J70" i="9"/>
  <c r="Q53" i="9"/>
  <c r="P57" i="9"/>
  <c r="Q61" i="9"/>
  <c r="P61" i="9"/>
  <c r="T26" i="9"/>
  <c r="X26" i="9"/>
  <c r="AB26" i="9"/>
  <c r="AE14" i="9"/>
  <c r="Q64" i="9"/>
  <c r="P64" i="9"/>
  <c r="AE23" i="9"/>
  <c r="Z26" i="9"/>
  <c r="Q52" i="9"/>
  <c r="L70" i="9"/>
  <c r="P52" i="9"/>
  <c r="Q54" i="9"/>
  <c r="D55" i="9"/>
  <c r="P60" i="9"/>
  <c r="Q62" i="9"/>
  <c r="AE8" i="9"/>
  <c r="AE22" i="9"/>
  <c r="AE24" i="9"/>
  <c r="C4" i="4"/>
  <c r="E41" i="9" l="1"/>
  <c r="L74" i="9"/>
  <c r="J74" i="9"/>
  <c r="N74" i="9"/>
  <c r="Q55" i="9"/>
  <c r="P55" i="9"/>
  <c r="Q63" i="9"/>
  <c r="P63" i="9"/>
  <c r="AC25" i="8"/>
  <c r="AA25" i="8"/>
  <c r="Y25" i="8"/>
  <c r="W25" i="8"/>
  <c r="U25" i="8"/>
  <c r="S25" i="8"/>
  <c r="Q25" i="8"/>
  <c r="O25" i="8"/>
  <c r="M25" i="8"/>
  <c r="K25" i="8"/>
  <c r="I25" i="8"/>
  <c r="G25" i="8"/>
  <c r="AC24" i="8"/>
  <c r="AA24" i="8"/>
  <c r="Y24" i="8"/>
  <c r="W24" i="8"/>
  <c r="U24" i="8"/>
  <c r="S24" i="8"/>
  <c r="Q24" i="8"/>
  <c r="O24" i="8"/>
  <c r="M24" i="8"/>
  <c r="K24" i="8"/>
  <c r="I24" i="8"/>
  <c r="G24" i="8"/>
  <c r="AC23" i="8"/>
  <c r="AA23" i="8"/>
  <c r="Y23" i="8"/>
  <c r="W23" i="8"/>
  <c r="U23" i="8"/>
  <c r="S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9" i="8"/>
  <c r="AA19" i="8"/>
  <c r="Y19" i="8"/>
  <c r="W19" i="8"/>
  <c r="U19" i="8"/>
  <c r="S19" i="8"/>
  <c r="Q19" i="8"/>
  <c r="O19" i="8"/>
  <c r="M19" i="8"/>
  <c r="K19" i="8"/>
  <c r="I19" i="8"/>
  <c r="G19" i="8"/>
  <c r="AC17" i="8"/>
  <c r="AA17" i="8"/>
  <c r="Y17" i="8"/>
  <c r="W17" i="8"/>
  <c r="U17" i="8"/>
  <c r="S17" i="8"/>
  <c r="Q17" i="8"/>
  <c r="O17" i="8"/>
  <c r="M17" i="8"/>
  <c r="K17" i="8"/>
  <c r="I17" i="8"/>
  <c r="G17" i="8"/>
  <c r="AC16" i="8"/>
  <c r="AA16" i="8"/>
  <c r="Y16" i="8"/>
  <c r="W16" i="8"/>
  <c r="U16" i="8"/>
  <c r="S16" i="8"/>
  <c r="Q16" i="8"/>
  <c r="O16" i="8"/>
  <c r="M16" i="8"/>
  <c r="K16" i="8"/>
  <c r="I16" i="8"/>
  <c r="G16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C9" i="8"/>
  <c r="AA9" i="8"/>
  <c r="Y9" i="8"/>
  <c r="W9" i="8"/>
  <c r="U9" i="8"/>
  <c r="S9" i="8"/>
  <c r="Q9" i="8"/>
  <c r="O9" i="8"/>
  <c r="M9" i="8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23" i="8" l="1"/>
  <c r="M26" i="8"/>
  <c r="AC26" i="8"/>
  <c r="AD20" i="8"/>
  <c r="C39" i="8" s="1"/>
  <c r="O26" i="8"/>
  <c r="AD13" i="8"/>
  <c r="AD14" i="8"/>
  <c r="AD15" i="8"/>
  <c r="AD19" i="8"/>
  <c r="AD21" i="8"/>
  <c r="AD25" i="8"/>
  <c r="AD9" i="8"/>
  <c r="W26" i="8"/>
  <c r="AD12" i="8"/>
  <c r="I26" i="8"/>
  <c r="Y26" i="8"/>
  <c r="AD24" i="8"/>
  <c r="U26" i="8"/>
  <c r="AD8" i="8"/>
  <c r="AD22" i="8"/>
  <c r="AA26" i="8"/>
  <c r="AD16" i="8"/>
  <c r="Q26" i="8"/>
  <c r="K26" i="8"/>
  <c r="S26" i="8"/>
  <c r="AD17" i="8"/>
  <c r="G26" i="8"/>
  <c r="O71" i="9" l="1"/>
  <c r="N71" i="9"/>
  <c r="M71" i="9"/>
  <c r="L71" i="9"/>
  <c r="K71" i="9"/>
  <c r="J71" i="9"/>
  <c r="I71" i="9"/>
  <c r="I75" i="9" s="1"/>
  <c r="H71" i="9"/>
  <c r="H75" i="9" s="1"/>
  <c r="G71" i="9"/>
  <c r="G75" i="9" s="1"/>
  <c r="F71" i="9"/>
  <c r="F75" i="9" s="1"/>
  <c r="E71" i="9"/>
  <c r="E75" i="9" s="1"/>
  <c r="D71" i="9"/>
  <c r="AD26" i="8"/>
  <c r="C40" i="8"/>
  <c r="C38" i="8"/>
  <c r="O75" i="9" l="1"/>
  <c r="O76" i="9" s="1"/>
  <c r="O77" i="9" s="1"/>
  <c r="O72" i="9"/>
  <c r="O73" i="9" s="1"/>
  <c r="N75" i="9"/>
  <c r="N76" i="9" s="1"/>
  <c r="N77" i="9" s="1"/>
  <c r="N72" i="9"/>
  <c r="N73" i="9" s="1"/>
  <c r="M75" i="9"/>
  <c r="M76" i="9" s="1"/>
  <c r="M77" i="9" s="1"/>
  <c r="M72" i="9"/>
  <c r="M73" i="9" s="1"/>
  <c r="L75" i="9"/>
  <c r="L76" i="9" s="1"/>
  <c r="L77" i="9" s="1"/>
  <c r="L72" i="9"/>
  <c r="L73" i="9" s="1"/>
  <c r="K75" i="9"/>
  <c r="K76" i="9" s="1"/>
  <c r="K77" i="9" s="1"/>
  <c r="K72" i="9"/>
  <c r="K73" i="9" s="1"/>
  <c r="J75" i="9"/>
  <c r="J76" i="9" s="1"/>
  <c r="J77" i="9" s="1"/>
  <c r="J72" i="9"/>
  <c r="J73" i="9" s="1"/>
  <c r="Q71" i="9"/>
  <c r="D75" i="9"/>
  <c r="P71" i="9"/>
  <c r="C41" i="8"/>
  <c r="D38" i="8" s="1"/>
  <c r="P75" i="9" l="1"/>
  <c r="Q75" i="9"/>
  <c r="D41" i="8"/>
  <c r="D39" i="8"/>
  <c r="D40" i="8"/>
  <c r="G95" i="6" l="1"/>
  <c r="G93" i="6"/>
  <c r="E32" i="6" s="1"/>
  <c r="G78" i="6"/>
  <c r="F17" i="6" s="1"/>
  <c r="F51" i="6"/>
  <c r="E51" i="6"/>
  <c r="D51" i="6"/>
  <c r="G51" i="6" s="1"/>
  <c r="G50" i="6"/>
  <c r="F50" i="6"/>
  <c r="E50" i="6"/>
  <c r="D50" i="6"/>
  <c r="F49" i="6"/>
  <c r="E49" i="6"/>
  <c r="D49" i="6"/>
  <c r="G49" i="6" s="1"/>
  <c r="G48" i="6"/>
  <c r="F48" i="6"/>
  <c r="E48" i="6"/>
  <c r="D48" i="6"/>
  <c r="F46" i="6"/>
  <c r="E46" i="6"/>
  <c r="D46" i="6"/>
  <c r="G46" i="6" s="1"/>
  <c r="G45" i="6"/>
  <c r="F45" i="6"/>
  <c r="E45" i="6"/>
  <c r="D45" i="6"/>
  <c r="F44" i="6"/>
  <c r="E44" i="6"/>
  <c r="D44" i="6"/>
  <c r="G44" i="6" s="1"/>
  <c r="G43" i="6"/>
  <c r="F43" i="6"/>
  <c r="E43" i="6"/>
  <c r="D43" i="6"/>
  <c r="F41" i="6"/>
  <c r="E41" i="6"/>
  <c r="D41" i="6"/>
  <c r="G41" i="6" s="1"/>
  <c r="G40" i="6"/>
  <c r="F40" i="6"/>
  <c r="E40" i="6"/>
  <c r="D40" i="6"/>
  <c r="F39" i="6"/>
  <c r="E39" i="6"/>
  <c r="D39" i="6"/>
  <c r="G39" i="6" s="1"/>
  <c r="G38" i="6"/>
  <c r="F38" i="6"/>
  <c r="E38" i="6"/>
  <c r="D38" i="6"/>
  <c r="F34" i="6"/>
  <c r="F35" i="6" s="1"/>
  <c r="E34" i="6"/>
  <c r="E35" i="6" s="1"/>
  <c r="D34" i="6"/>
  <c r="D35" i="6" s="1"/>
  <c r="G33" i="6"/>
  <c r="F33" i="6"/>
  <c r="E33" i="6"/>
  <c r="D33" i="6"/>
  <c r="F32" i="6"/>
  <c r="D32" i="6"/>
  <c r="G31" i="6"/>
  <c r="F31" i="6"/>
  <c r="E31" i="6"/>
  <c r="D31" i="6"/>
  <c r="F30" i="6"/>
  <c r="E30" i="6"/>
  <c r="D30" i="6"/>
  <c r="G30" i="6" s="1"/>
  <c r="G29" i="6"/>
  <c r="F29" i="6"/>
  <c r="E29" i="6"/>
  <c r="D29" i="6"/>
  <c r="D27" i="6"/>
  <c r="G27" i="6" s="1"/>
  <c r="D26" i="6"/>
  <c r="G26" i="6" s="1"/>
  <c r="G25" i="6"/>
  <c r="D25" i="6"/>
  <c r="D24" i="6"/>
  <c r="G24" i="6" s="1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F18" i="6"/>
  <c r="E18" i="6"/>
  <c r="G18" i="6" s="1"/>
  <c r="F15" i="6"/>
  <c r="F16" i="6" s="1"/>
  <c r="E15" i="6"/>
  <c r="E16" i="6" s="1"/>
  <c r="D15" i="6"/>
  <c r="F14" i="6"/>
  <c r="G14" i="6" s="1"/>
  <c r="E14" i="6"/>
  <c r="D14" i="6"/>
  <c r="F13" i="6"/>
  <c r="E13" i="6"/>
  <c r="D13" i="6"/>
  <c r="G13" i="6" s="1"/>
  <c r="F12" i="6"/>
  <c r="E12" i="6"/>
  <c r="G12" i="6" s="1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F8" i="6"/>
  <c r="E8" i="6"/>
  <c r="D8" i="6"/>
  <c r="G8" i="6" s="1"/>
  <c r="F7" i="6"/>
  <c r="E7" i="6"/>
  <c r="D7" i="6"/>
  <c r="F6" i="6"/>
  <c r="E6" i="6"/>
  <c r="D6" i="6"/>
  <c r="G6" i="6" s="1"/>
  <c r="G32" i="6" l="1"/>
  <c r="G35" i="6"/>
  <c r="G15" i="6"/>
  <c r="G19" i="6"/>
  <c r="G34" i="6"/>
  <c r="D17" i="6"/>
  <c r="G7" i="6"/>
  <c r="E17" i="6"/>
  <c r="D16" i="6"/>
  <c r="G16" i="6" s="1"/>
  <c r="G17" i="6" l="1"/>
  <c r="O3" i="4"/>
  <c r="G23" i="4" s="1"/>
  <c r="O4" i="5"/>
  <c r="N12" i="5" s="1"/>
  <c r="N13" i="5" s="1"/>
  <c r="D4" i="5"/>
  <c r="C12" i="5" s="1"/>
  <c r="C13" i="5" s="1"/>
  <c r="I17" i="9" s="1"/>
  <c r="J17" i="9" s="1"/>
  <c r="E4" i="5"/>
  <c r="D12" i="5" s="1"/>
  <c r="D13" i="5" s="1"/>
  <c r="K17" i="9" s="1"/>
  <c r="L17" i="9" s="1"/>
  <c r="F4" i="5"/>
  <c r="E12" i="5" s="1"/>
  <c r="E13" i="5" s="1"/>
  <c r="M17" i="9" s="1"/>
  <c r="N17" i="9" s="1"/>
  <c r="G4" i="5"/>
  <c r="F12" i="5" s="1"/>
  <c r="F13" i="5" s="1"/>
  <c r="O17" i="9" s="1"/>
  <c r="P17" i="9" s="1"/>
  <c r="H4" i="5"/>
  <c r="G12" i="5" s="1"/>
  <c r="G13" i="5" s="1"/>
  <c r="Q17" i="9" s="1"/>
  <c r="R17" i="9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I59" i="9" l="1"/>
  <c r="I70" i="9" s="1"/>
  <c r="R26" i="9"/>
  <c r="H59" i="9"/>
  <c r="H70" i="9" s="1"/>
  <c r="P26" i="9"/>
  <c r="G59" i="9"/>
  <c r="G70" i="9" s="1"/>
  <c r="N26" i="9"/>
  <c r="F59" i="9"/>
  <c r="F70" i="9" s="1"/>
  <c r="L26" i="9"/>
  <c r="E59" i="9"/>
  <c r="E70" i="9" s="1"/>
  <c r="J26" i="9"/>
  <c r="B13" i="5"/>
  <c r="I72" i="9" l="1"/>
  <c r="I73" i="9" s="1"/>
  <c r="I74" i="9"/>
  <c r="I76" i="9" s="1"/>
  <c r="I77" i="9" s="1"/>
  <c r="H72" i="9"/>
  <c r="H73" i="9" s="1"/>
  <c r="H74" i="9"/>
  <c r="H76" i="9" s="1"/>
  <c r="H77" i="9" s="1"/>
  <c r="G72" i="9"/>
  <c r="G73" i="9" s="1"/>
  <c r="G74" i="9"/>
  <c r="G76" i="9" s="1"/>
  <c r="G77" i="9" s="1"/>
  <c r="F72" i="9"/>
  <c r="F73" i="9" s="1"/>
  <c r="F74" i="9"/>
  <c r="F76" i="9" s="1"/>
  <c r="F77" i="9" s="1"/>
  <c r="E72" i="9"/>
  <c r="E73" i="9" s="1"/>
  <c r="E74" i="9"/>
  <c r="E76" i="9" s="1"/>
  <c r="E77" i="9" s="1"/>
  <c r="G17" i="9"/>
  <c r="H17" i="9" s="1"/>
  <c r="O2" i="4"/>
  <c r="J23" i="4" s="1"/>
  <c r="I23" i="4"/>
  <c r="AE17" i="9" l="1"/>
  <c r="D59" i="9"/>
  <c r="H26" i="9"/>
  <c r="Q2" i="4"/>
  <c r="C23" i="4"/>
  <c r="D29" i="4"/>
  <c r="E42" i="9" l="1"/>
  <c r="AE26" i="9"/>
  <c r="Q59" i="9"/>
  <c r="D70" i="9"/>
  <c r="P59" i="9"/>
  <c r="G4" i="4"/>
  <c r="M4" i="4"/>
  <c r="K4" i="4"/>
  <c r="J4" i="4"/>
  <c r="E4" i="4"/>
  <c r="D4" i="4"/>
  <c r="I4" i="4"/>
  <c r="L4" i="4"/>
  <c r="H4" i="4"/>
  <c r="N4" i="4"/>
  <c r="Q70" i="9" l="1"/>
  <c r="Q72" i="9" s="1"/>
  <c r="Q73" i="9" s="1"/>
  <c r="D73" i="9"/>
  <c r="P70" i="9"/>
  <c r="P72" i="9" s="1"/>
  <c r="P73" i="9" s="1"/>
  <c r="G39" i="9"/>
  <c r="G40" i="9"/>
  <c r="G42" i="9"/>
  <c r="G41" i="9"/>
  <c r="O4" i="4"/>
  <c r="Q74" i="9" l="1"/>
  <c r="Q76" i="9" s="1"/>
  <c r="Q77" i="9" s="1"/>
  <c r="P74" i="9"/>
  <c r="P76" i="9" s="1"/>
  <c r="P77" i="9" s="1"/>
  <c r="D76" i="9"/>
</calcChain>
</file>

<file path=xl/sharedStrings.xml><?xml version="1.0" encoding="utf-8"?>
<sst xmlns="http://schemas.openxmlformats.org/spreadsheetml/2006/main" count="768" uniqueCount="294">
  <si>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</si>
  <si>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</si>
  <si>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</si>
  <si>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</si>
  <si>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</si>
  <si>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</si>
  <si>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
ข้อมูล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</si>
  <si>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</si>
  <si>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</si>
  <si>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</si>
  <si>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</si>
  <si>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</si>
  <si>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</si>
  <si>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</si>
  <si>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</si>
  <si>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</si>
  <si>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</si>
  <si>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</si>
  <si>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</si>
  <si>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</si>
  <si>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ปริมาณ</t>
  </si>
  <si>
    <t>CF</t>
  </si>
  <si>
    <t>Scope 1 (ประเภท 1)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</si>
  <si>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</si>
  <si>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</si>
  <si>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</si>
  <si>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>kg CO2e/ลิตร</t>
  </si>
  <si>
    <t>ลิตร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</si>
  <si>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</si>
  <si>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</si>
  <si>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</si>
  <si>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</si>
  <si>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91, E20, E85</t>
  </si>
  <si>
    <t>น้ำมัน Gasohol 95</t>
  </si>
  <si>
    <t>3. การใช้สารดับเพลิง (CO2)</t>
  </si>
  <si>
    <t>kg CO2e/kgCO2</t>
  </si>
  <si>
    <t>kg</t>
  </si>
  <si>
    <t>4. การปล่อยสารมีเทนจากระบบ septic tank</t>
  </si>
  <si>
    <t>kg CO2e/kgCH4</t>
  </si>
  <si>
    <t>kgCH4</t>
  </si>
  <si>
    <t>5. การปล่อยสารมีเทนจากบ่อบำบัดน้ำเสียแบบไม่เติมอากาศ</t>
  </si>
  <si>
    <t>6.การใช้สารทำความเย็นชนิด R22</t>
  </si>
  <si>
    <t>kg CO2e/kgCHClF2</t>
  </si>
  <si>
    <t>kgCHClF2</t>
  </si>
  <si>
    <t>6.การใช้สารทำความเย็นชนิด R32</t>
  </si>
  <si>
    <t>kg CO2e/kgCH2F2</t>
  </si>
  <si>
    <t>kgCH2F2</t>
  </si>
  <si>
    <t>Scope 2 (ประเภท 2)</t>
  </si>
  <si>
    <t>การใช้พลังงานไฟฟ้า</t>
  </si>
  <si>
    <t>kg CO2e/kWh</t>
  </si>
  <si>
    <t>kWh</t>
  </si>
  <si>
    <t>Scope 3 
(ประเภท 3)</t>
  </si>
  <si>
    <t>การใช้กระดาษ A4 และ A3 (สีขาว)</t>
  </si>
  <si>
    <t>kg CO2e/kg</t>
  </si>
  <si>
    <t>น้ำประปา-การประปานครหลวง</t>
  </si>
  <si>
    <t>kg CO2e/m3</t>
  </si>
  <si>
    <t>m3</t>
  </si>
  <si>
    <t>น้ำประปา-การประปาส่วนภูมิภาค</t>
  </si>
  <si>
    <t>ขยะของเสีย (ฝังกลบ)</t>
  </si>
  <si>
    <t>ขยะของเสีย (เผากำจัดโดยใช้น้ำมันดีเซล)</t>
  </si>
  <si>
    <t xml:space="preserve">หมายเหตุ 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</si>
  <si>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</si>
  <si>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(ทบทวนค่า EF จาก อบก.วันที่ 8-2-2567)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</si>
  <si>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</si>
  <si>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2567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</si>
  <si>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</si>
  <si>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</si>
  <si>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</si>
  <si>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</si>
  <si>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</si>
  <si>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</si>
  <si>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</si>
  <si>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ขอบเขตดำเนินงาน</t>
  </si>
  <si>
    <t>ปี 2567</t>
  </si>
  <si>
    <t>ประเภท 1</t>
  </si>
  <si>
    <t>ประเภท 2</t>
  </si>
  <si>
    <t>ประเภท 3</t>
  </si>
  <si>
    <t>มิ.ค.</t>
  </si>
  <si>
    <t xml:space="preserve">ส.ค. </t>
  </si>
  <si>
    <t>เฉลี่ย</t>
  </si>
  <si>
    <t>Diesel (Generator) สำหรับงานอาคาร</t>
  </si>
  <si>
    <t>Diesel (Fire pump) สำหรับงานอาคาร</t>
  </si>
  <si>
    <t>น้ำมัน Diesel สำหรับการเดินทาง</t>
  </si>
  <si>
    <t>น้ำมัน Gasohol 91, E20, E85 การเดินทาง</t>
  </si>
  <si>
    <t>น้ำมัน Gasohol 95 สำหรับการเดินทาง</t>
  </si>
  <si>
    <t>การใช้สารดับเพลิง (CO2)</t>
  </si>
  <si>
    <t>การปล่อยมีเทนจากระบบ septic tank</t>
  </si>
  <si>
    <t>การปล่อยมีเทนจากบ่อบำบัดน้ำเสียแบบไม่เติมอากาศ</t>
  </si>
  <si>
    <t>การใช้สารทำความเย็นชนิด R22</t>
  </si>
  <si>
    <t>การใช้สารทำความเย็นชนิด R32</t>
  </si>
  <si>
    <t>จำนวนคนปี 2567</t>
  </si>
  <si>
    <t>ปริมาณก๊าซเรือนกระจก ปี 2567 (kgCO2e)</t>
  </si>
  <si>
    <t>% เพิ่มขึ้น / ลดลง (kgCO2e)</t>
  </si>
  <si>
    <t>ปริมาณก๊าซเรือนกระจกต่อคน ปี 2567 (kgCO2e/คน)</t>
  </si>
  <si>
    <t>% เพิ่มขึ้น / ลดลง  (kgCO2e/คน)</t>
  </si>
  <si>
    <t>รายละเอียด :</t>
  </si>
  <si>
    <t>วิเคราะห์สาเหตุ :</t>
  </si>
  <si>
    <t>แนวทางจัดการ :</t>
  </si>
  <si>
    <t>-</t>
  </si>
  <si>
    <t xml:space="preserve">สมมุติฐานถังบำบัดน้ำเสีย
จากห้องน้ำแบบไม่เติมอากาศ  </t>
  </si>
  <si>
    <t>ปริมาณน้ำใช้ในรอบปี m3</t>
  </si>
  <si>
    <t>ปริมาณน้ำเสียคิดเป็น 80% m3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</si>
  <si>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</si>
  <si>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 xml:space="preserve">สมการการคำนวณปริมาณมีเทนจากระบบแบบไม่เติมอากาศลึกไม่เกิน 2 เมตร </t>
  </si>
  <si>
    <t>=</t>
  </si>
  <si>
    <t xml:space="preserve"> × [(Wi × CODin)-S]</t>
  </si>
  <si>
    <t>Wi = ปริมาณน้ำเสีย (ลบ.ม.)</t>
  </si>
  <si>
    <t>CODin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</si>
  <si>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</si>
  <si>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ปริมาณน้ำเสียเฉลี่ย (ลบ.ม)</t>
  </si>
  <si>
    <t>CH4 (kgCH4)</t>
  </si>
  <si>
    <t>หมายเหตุ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</si>
  <si>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</si>
  <si>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</si>
  <si>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 xml:space="preserve"> </t>
  </si>
  <si>
    <t>3. ระบบบำบัดน้ำเสียเป็นแบบเติมอากาศ จะไม่นำมาคิดการปล่อย CH4 (kgCH4)</t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</si>
  <si>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</si>
  <si>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</si>
  <si>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</si>
  <si>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</si>
  <si>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</si>
  <si>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</si>
  <si>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</si>
  <si>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</si>
  <si>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</si>
  <si>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</si>
  <si>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</si>
  <si>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</si>
  <si>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</si>
  <si>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</si>
  <si>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</si>
  <si>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</si>
  <si>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</si>
  <si>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</si>
  <si>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</si>
  <si>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</si>
  <si>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</si>
  <si>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</si>
  <si>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</si>
  <si>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</si>
  <si>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</si>
  <si>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</si>
  <si>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</si>
  <si>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</si>
  <si>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</si>
  <si>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</si>
  <si>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</si>
  <si>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</si>
  <si>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>หน่วย
การเก็บข้อมูล</t>
  </si>
  <si>
    <t>kgCO2e</t>
  </si>
  <si>
    <t>3. Scope 3 สืบค้นข้อมูลได้จ้าก http://thaicarbonlabel.tgo.or.th/admin/uploadfiles/emission/ts_af09c20f4f.pdf บังคับใช้วันที่ 1 มกราคม 2566</t>
  </si>
  <si>
    <t>GHG</t>
  </si>
  <si>
    <t>%</t>
  </si>
  <si>
    <t>tCO2e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</si>
  <si>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</si>
  <si>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</si>
  <si>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</si>
  <si>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</si>
  <si>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</si>
  <si>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</si>
  <si>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</si>
  <si>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</si>
  <si>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</si>
  <si>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</si>
  <si>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</si>
  <si>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</si>
  <si>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</si>
  <si>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</si>
  <si>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</si>
  <si>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</si>
  <si>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</si>
  <si>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</si>
  <si>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</si>
  <si>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</si>
  <si>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</si>
  <si>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</si>
  <si>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</si>
  <si>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</si>
  <si>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</si>
  <si>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</si>
  <si>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</si>
  <si>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</si>
  <si>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</si>
  <si>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</si>
  <si>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</si>
  <si>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</si>
  <si>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</si>
  <si>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</si>
  <si>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</si>
  <si>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</si>
  <si>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</si>
  <si>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</si>
  <si>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</si>
  <si>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</si>
  <si>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</si>
  <si>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</si>
  <si>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</si>
  <si>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</si>
  <si>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</si>
  <si>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</si>
  <si>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</si>
  <si>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</si>
  <si>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</si>
  <si>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</si>
  <si>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</si>
  <si>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</si>
  <si>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</si>
  <si>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</si>
  <si>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</si>
  <si>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</si>
  <si>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</si>
  <si>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</si>
  <si>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</si>
  <si>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</si>
  <si>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</si>
  <si>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</si>
  <si>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</si>
  <si>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</si>
  <si>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</si>
  <si>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</si>
  <si>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</si>
  <si>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</si>
  <si>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</si>
  <si>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</si>
  <si>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</si>
  <si>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</si>
  <si>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</si>
  <si>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</si>
  <si>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</si>
  <si>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</si>
  <si>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</si>
  <si>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</si>
  <si>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</si>
  <si>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</si>
  <si>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</si>
  <si>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</si>
  <si>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</si>
  <si>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</si>
  <si>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</si>
  <si>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</si>
  <si>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</si>
  <si>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</si>
  <si>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</si>
  <si>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</si>
  <si>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</si>
  <si>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</si>
  <si>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</si>
  <si>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</si>
  <si>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</si>
  <si>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</si>
  <si>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</si>
  <si>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</si>
  <si>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</si>
  <si>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</si>
  <si>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</si>
  <si>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</si>
  <si>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ปริมาณก๊าซเรือนกระจก (kgCO2e) ประจำปี 2568</t>
  </si>
  <si>
    <t>ปีคำนวณ 2568</t>
  </si>
  <si>
    <t>เดือน / ประจำปี 2567</t>
  </si>
  <si>
    <t>ประจำปี 2567 (เดือนมกราคม ถึง ธันวาคม)</t>
  </si>
  <si>
    <t>การวิเคราะห์ข้อมูลและสาเหตุ (เป้าหมาย : ก๊าซเรือนกระจกลดลง 1% จากปี 2567)</t>
  </si>
  <si>
    <t>เดือนมกราคม 2568</t>
  </si>
  <si>
    <t xml:space="preserve">เดือนกุมภาพันธ์ 2568      </t>
  </si>
  <si>
    <t xml:space="preserve">เดือนมีนาคม 2568        </t>
  </si>
  <si>
    <t xml:space="preserve">เดือนพฤษภาคม 2568        </t>
  </si>
  <si>
    <t xml:space="preserve">เดือนเมษายน 2568        </t>
  </si>
  <si>
    <t xml:space="preserve">เดือนมิถุนายน 2568        </t>
  </si>
  <si>
    <t>ปริมาณก๊าซเรือนกระจกต่อคน ปี 2568 (kgCO2e/คน)</t>
  </si>
  <si>
    <t>ปริมาณก๊าซเรือนกระจก ปี 2568 (kgCO2e)</t>
  </si>
  <si>
    <t>ผลต่างระหว่างปี 2567 และ 2568 (kgCO2e)</t>
  </si>
  <si>
    <t>ผลต่างระหว่างปี 2567 และ 2568 (kgCO2e/คน)</t>
  </si>
  <si>
    <t>จำนวนคนปี 2568</t>
  </si>
  <si>
    <t>ปี 2568</t>
  </si>
  <si>
    <t xml:space="preserve">เดือนกรกฎาคม 2568        </t>
  </si>
  <si>
    <t xml:space="preserve">เดือนสิงหาคม 2568      </t>
  </si>
  <si>
    <t xml:space="preserve">เดือนกันยายน 2568      </t>
  </si>
  <si>
    <t xml:space="preserve">เดือนพฤศจิกายน 2568      </t>
  </si>
  <si>
    <t xml:space="preserve">เดือนตุลาคม 2568      </t>
  </si>
  <si>
    <t xml:space="preserve">เดือนธันวาคม 2568      </t>
  </si>
  <si>
    <t>สรุป การเปรียบเทียบปริมาณก๊าซเรือนกระจก (kgCO2e) ของปี 2567 และ 2568</t>
  </si>
  <si>
    <t>สรุป การปล่อยก๊าซเรือนกระจกตั้งแต่เดือน มกราคม ถึง มิถุนายน ปี 2568 เท่ากับ 15.24 tCO2e ลดลงจากมกราคม ถึง มิถุนายน ปี 2567 เท่ากับ 0.52 tCO2e คิดเป็น 3.30 %</t>
  </si>
  <si>
    <t>ปริมาณการปล่อยก๊าซเรือนกระจกในเดือนมกราคม 2568 เพิ่มขึ้นเมื่อเปรียบเทียบกับช่วงเวลาเดียวกันของปี 2567 จำนวน 980.99 kgCO2 หรือเพิ่มขึ้น เท่ากับ 63.90%</t>
  </si>
  <si>
    <t>ปริมาณการปล่อยก๊าซเรือนกระจกเพิ่มสูงขึ้น เนื่องจากข้อมูลการปล่อยก๊าซเรือนกระจกในเดือนมกราคม 2567 ยังไม่สมบูรณ์ครบถ้วน</t>
  </si>
  <si>
    <t>ปริมาณการปล่อยก๊าซเรือนกระจกในเดือนกุมภาพันธ์ 2568 ลดลงเมื่อเปรียบเทียบกับช่วงเวลาเดียวกันของปี 2567 จำนวน 1713.82 kgCO2 หรือลดลง เท่ากับ 36.60%</t>
  </si>
  <si>
    <t>ปรับปรุงระบบรายงานและจัดเก็บข้อมูลให้ครบถ้วน ถูกต้อง และทันต่อการประเมินผล</t>
  </si>
  <si>
    <t>ปริมาณการปล่อยก๊าซเรือนกระจกในเดือนมีนาคม 2568 เพิ่มขึ้นเมื่อเปรียบเทียบกับช่วงเวลาเดียวกันของปี 2567 จำนวน 2036.03 kgCO2 หรือเพิ่มขึ้น เท่ากับ 274.68%</t>
  </si>
  <si>
    <t>ปริมาณการปล่อยก๊าซเรือนกระจกเพิ่มสูงขึ้น เนื่องจากข้อมูลการปล่อยก๊าซเรือนกระจกในเดือนมีนาคม 2567 ยังไม่สมบูรณ์ครบถ้วน</t>
  </si>
  <si>
    <t>ปริมาณการปล่อยก๊าซเรือนกระจกในเดือนเมษายน 2568 เพิ่มขึ้นเมื่อเปรียบเทียบกับช่วงเวลาเดียวกันของปี 2567 จำนวน 2925.01 kgCO2 หรือเพิ่มขึ้น เท่ากับ 116.10%</t>
  </si>
  <si>
    <t>ปริมาณการปล่อยก๊าซเรือนกระจกเพิ่มสูงขึ้น เนื่องจากข้อมูลการปล่อยก๊าซเรือนกระจกในเดือนเมษายน 2567 ยังไม่สมบูรณ์ครบถ้วน</t>
  </si>
  <si>
    <t>ปริมาณการปล่อยก๊าซเรือนกระจกในเดือนพฤษภาคม 2568 ลดลงเมื่อเปรียบเทียบกับช่วงเวลาเดียวกันของปี 2567 จำนวน 2,161.44 kgCO2 หรือลดลง เท่ากับ 68.08%</t>
  </si>
  <si>
    <t>ปริมาณการปล่อยก๊าซเรือนกระจกลดลง เนื่องจากปริมาณการใช้ไฟฟ้าในเดือนกุมภาพันธ์ 2568 ลดลงจากช่วงเวลาเดียวกันของปี 2567</t>
  </si>
  <si>
    <t xml:space="preserve">ปริมาณการปล่อยก๊าซเรือนกระจกลดลง เนื่องจากขาดข้อมูลการใช้ไฟฟ้าในเดือนพฤษภาคม 2568 </t>
  </si>
  <si>
    <t>ปริมาณการปล่อยก๊าซเรือนกระจกในเดือนมิถุนายน 2568 ลดลงเมื่อเปรียบเทียบกับช่วงเวลาเดียวกันของปี 2567 จำนวน 2,585.72 kgCO2 หรือลดลง เท่ากับ 83.35%</t>
  </si>
  <si>
    <t xml:space="preserve">ปริมาณการปล่อยก๊าซเรือนกระจกลดลง เนื่องจากขาดข้อมูลการใช้ไฟฟ้าในเดือนมิถุนายน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</si>
</sst>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  <numFmt numFmtId="195" formatCode="0.0"/>
  </numFmts>
  <fonts count="46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24"/>
      <name val="Cordia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sz val="14"/>
      <color theme="1"/>
      <name val="Cordia New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20"/>
      <name val="Cordia New"/>
      <family val="2"/>
      <charset val="222"/>
    </font>
    <font>
      <sz val="20"/>
      <name val="Cordia New"/>
      <family val="2"/>
    </font>
    <font>
      <sz val="10"/>
      <name val="Arial"/>
      <charset val="222"/>
    </font>
    <font>
      <sz val="11"/>
      <color indexed="8"/>
      <name val="Tahoma"/>
      <family val="2"/>
      <charset val="222"/>
    </font>
    <font>
      <b/>
      <sz val="14"/>
      <color rgb="FF000000"/>
      <name val="Cordia New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/>
    <xf numFmtId="43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87" fontId="29" fillId="0" borderId="0" applyFont="0" applyFill="0" applyBorder="0" applyAlignment="0" applyProtection="0"/>
    <xf numFmtId="0" fontId="43" fillId="0" borderId="0"/>
    <xf numFmtId="0" fontId="1" fillId="0" borderId="0"/>
    <xf numFmtId="0" fontId="44" fillId="0" borderId="0" applyBorder="0"/>
  </cellStyleXfs>
  <cellXfs count="295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187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9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188" fontId="12" fillId="3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top" wrapText="1"/>
    </xf>
    <xf numFmtId="4" fontId="12" fillId="3" borderId="0" xfId="0" applyNumberFormat="1" applyFont="1" applyFill="1" applyAlignment="1">
      <alignment horizontal="center" vertical="top" wrapText="1"/>
    </xf>
    <xf numFmtId="1" fontId="12" fillId="3" borderId="0" xfId="0" applyNumberFormat="1" applyFont="1" applyFill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4" fontId="11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88" fontId="12" fillId="3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9" fillId="10" borderId="1" xfId="4" applyFont="1" applyFill="1" applyBorder="1" applyAlignment="1">
      <alignment horizontal="center" vertical="center"/>
    </xf>
    <xf numFmtId="0" fontId="20" fillId="3" borderId="0" xfId="4" applyFont="1" applyFill="1"/>
    <xf numFmtId="191" fontId="19" fillId="10" borderId="1" xfId="5" applyNumberFormat="1" applyFont="1" applyFill="1" applyBorder="1" applyAlignment="1">
      <alignment horizontal="center" vertical="center"/>
    </xf>
    <xf numFmtId="0" fontId="18" fillId="0" borderId="1" xfId="4" applyBorder="1"/>
    <xf numFmtId="0" fontId="18" fillId="0" borderId="1" xfId="4" applyBorder="1" applyAlignment="1">
      <alignment horizontal="center"/>
    </xf>
    <xf numFmtId="192" fontId="0" fillId="0" borderId="1" xfId="5" applyNumberFormat="1" applyFont="1" applyBorder="1"/>
    <xf numFmtId="0" fontId="24" fillId="3" borderId="1" xfId="4" applyFont="1" applyFill="1" applyBorder="1" applyAlignment="1">
      <alignment horizontal="left" vertical="center"/>
    </xf>
    <xf numFmtId="0" fontId="24" fillId="3" borderId="1" xfId="4" applyFont="1" applyFill="1" applyBorder="1" applyAlignment="1">
      <alignment horizontal="center" vertical="center"/>
    </xf>
    <xf numFmtId="191" fontId="24" fillId="3" borderId="1" xfId="5" applyNumberFormat="1" applyFont="1" applyFill="1" applyBorder="1" applyAlignment="1">
      <alignment horizontal="center" vertical="center"/>
    </xf>
    <xf numFmtId="0" fontId="20" fillId="3" borderId="1" xfId="4" applyFont="1" applyFill="1" applyBorder="1"/>
    <xf numFmtId="0" fontId="20" fillId="3" borderId="1" xfId="4" applyFont="1" applyFill="1" applyBorder="1" applyAlignment="1">
      <alignment horizontal="center" vertical="top"/>
    </xf>
    <xf numFmtId="0" fontId="20" fillId="3" borderId="1" xfId="4" applyFont="1" applyFill="1" applyBorder="1" applyAlignment="1">
      <alignment vertical="top"/>
    </xf>
    <xf numFmtId="11" fontId="24" fillId="3" borderId="1" xfId="4" applyNumberFormat="1" applyFont="1" applyFill="1" applyBorder="1" applyAlignment="1">
      <alignment horizontal="center" vertical="center"/>
    </xf>
    <xf numFmtId="0" fontId="20" fillId="3" borderId="1" xfId="4" applyFont="1" applyFill="1" applyBorder="1" applyAlignment="1">
      <alignment horizontal="center" vertical="center"/>
    </xf>
    <xf numFmtId="191" fontId="20" fillId="3" borderId="0" xfId="5" applyNumberFormat="1" applyFont="1" applyFill="1"/>
    <xf numFmtId="0" fontId="20" fillId="3" borderId="0" xfId="4" applyFont="1" applyFill="1" applyAlignment="1">
      <alignment horizontal="center"/>
    </xf>
    <xf numFmtId="188" fontId="20" fillId="3" borderId="0" xfId="4" applyNumberFormat="1" applyFont="1" applyFill="1"/>
    <xf numFmtId="188" fontId="0" fillId="0" borderId="0" xfId="5" applyNumberFormat="1" applyFont="1"/>
    <xf numFmtId="0" fontId="20" fillId="3" borderId="1" xfId="4" applyFont="1" applyFill="1" applyBorder="1" applyAlignment="1">
      <alignment horizontal="center"/>
    </xf>
    <xf numFmtId="0" fontId="25" fillId="3" borderId="1" xfId="4" applyFont="1" applyFill="1" applyBorder="1" applyAlignment="1">
      <alignment vertical="top"/>
    </xf>
    <xf numFmtId="49" fontId="20" fillId="3" borderId="1" xfId="4" applyNumberFormat="1" applyFont="1" applyFill="1" applyBorder="1" applyAlignment="1">
      <alignment vertical="top"/>
    </xf>
    <xf numFmtId="0" fontId="20" fillId="3" borderId="1" xfId="4" applyFont="1" applyFill="1" applyBorder="1" applyAlignment="1">
      <alignment vertical="center"/>
    </xf>
    <xf numFmtId="0" fontId="20" fillId="3" borderId="1" xfId="4" applyFont="1" applyFill="1" applyBorder="1" applyAlignment="1">
      <alignment vertical="center" wrapText="1"/>
    </xf>
    <xf numFmtId="0" fontId="20" fillId="3" borderId="1" xfId="4" applyFont="1" applyFill="1" applyBorder="1" applyAlignment="1">
      <alignment horizontal="center" vertical="center" wrapText="1"/>
    </xf>
    <xf numFmtId="191" fontId="20" fillId="3" borderId="0" xfId="4" applyNumberFormat="1" applyFont="1" applyFill="1"/>
    <xf numFmtId="0" fontId="25" fillId="3" borderId="1" xfId="4" applyFont="1" applyFill="1" applyBorder="1" applyAlignment="1">
      <alignment vertical="center"/>
    </xf>
    <xf numFmtId="0" fontId="20" fillId="3" borderId="0" xfId="4" applyFont="1" applyFill="1" applyAlignment="1">
      <alignment vertical="center"/>
    </xf>
    <xf numFmtId="0" fontId="20" fillId="3" borderId="0" xfId="4" applyFont="1" applyFill="1" applyAlignment="1">
      <alignment vertical="center" wrapText="1"/>
    </xf>
    <xf numFmtId="0" fontId="20" fillId="3" borderId="0" xfId="4" applyFont="1" applyFill="1" applyAlignment="1">
      <alignment horizontal="center" vertical="center"/>
    </xf>
    <xf numFmtId="11" fontId="24" fillId="3" borderId="0" xfId="4" applyNumberFormat="1" applyFont="1" applyFill="1" applyAlignment="1">
      <alignment horizontal="center" vertical="center"/>
    </xf>
    <xf numFmtId="191" fontId="24" fillId="3" borderId="0" xfId="5" applyNumberFormat="1" applyFont="1" applyFill="1" applyBorder="1" applyAlignment="1">
      <alignment horizontal="center" vertical="center"/>
    </xf>
    <xf numFmtId="0" fontId="20" fillId="3" borderId="0" xfId="4" applyFont="1" applyFill="1" applyAlignment="1">
      <alignment horizontal="center" vertical="center" wrapText="1"/>
    </xf>
    <xf numFmtId="49" fontId="20" fillId="3" borderId="0" xfId="4" applyNumberFormat="1" applyFont="1" applyFill="1" applyAlignment="1">
      <alignment vertical="top"/>
    </xf>
    <xf numFmtId="11" fontId="26" fillId="3" borderId="0" xfId="6" applyNumberFormat="1" applyFill="1" applyBorder="1" applyAlignment="1">
      <alignment horizontal="left" vertical="center"/>
    </xf>
    <xf numFmtId="0" fontId="21" fillId="12" borderId="0" xfId="4" applyFont="1" applyFill="1"/>
    <xf numFmtId="0" fontId="20" fillId="12" borderId="0" xfId="4" applyFont="1" applyFill="1" applyAlignment="1">
      <alignment horizontal="left" vertical="top"/>
    </xf>
    <xf numFmtId="193" fontId="20" fillId="12" borderId="0" xfId="5" applyNumberFormat="1" applyFont="1" applyFill="1" applyAlignment="1">
      <alignment horizontal="left" vertical="top"/>
    </xf>
    <xf numFmtId="193" fontId="20" fillId="12" borderId="0" xfId="5" applyNumberFormat="1" applyFont="1" applyFill="1" applyAlignment="1">
      <alignment horizontal="left" vertical="top" wrapText="1"/>
    </xf>
    <xf numFmtId="191" fontId="20" fillId="12" borderId="0" xfId="5" applyNumberFormat="1" applyFont="1" applyFill="1"/>
    <xf numFmtId="0" fontId="20" fillId="12" borderId="0" xfId="4" applyFont="1" applyFill="1"/>
    <xf numFmtId="193" fontId="20" fillId="3" borderId="0" xfId="5" applyNumberFormat="1" applyFont="1" applyFill="1"/>
    <xf numFmtId="193" fontId="20" fillId="3" borderId="0" xfId="5" applyNumberFormat="1" applyFont="1" applyFill="1" applyAlignment="1">
      <alignment horizontal="center"/>
    </xf>
    <xf numFmtId="191" fontId="20" fillId="3" borderId="0" xfId="5" applyNumberFormat="1" applyFont="1" applyFill="1" applyAlignment="1">
      <alignment horizontal="center"/>
    </xf>
    <xf numFmtId="194" fontId="20" fillId="3" borderId="1" xfId="5" applyNumberFormat="1" applyFont="1" applyFill="1" applyBorder="1" applyAlignment="1">
      <alignment horizontal="center" vertical="top"/>
    </xf>
    <xf numFmtId="191" fontId="20" fillId="3" borderId="1" xfId="5" applyNumberFormat="1" applyFont="1" applyFill="1" applyBorder="1" applyAlignment="1">
      <alignment horizontal="center"/>
    </xf>
    <xf numFmtId="0" fontId="20" fillId="0" borderId="1" xfId="5" applyNumberFormat="1" applyFont="1" applyFill="1" applyBorder="1" applyAlignment="1">
      <alignment horizontal="center" vertical="top"/>
    </xf>
    <xf numFmtId="0" fontId="20" fillId="0" borderId="1" xfId="4" applyFont="1" applyBorder="1" applyAlignment="1">
      <alignment horizontal="center" vertical="top"/>
    </xf>
    <xf numFmtId="43" fontId="20" fillId="3" borderId="0" xfId="5" applyFont="1" applyFill="1"/>
    <xf numFmtId="0" fontId="20" fillId="0" borderId="1" xfId="4" applyFont="1" applyBorder="1" applyAlignment="1">
      <alignment vertical="top"/>
    </xf>
    <xf numFmtId="0" fontId="20" fillId="3" borderId="1" xfId="5" applyNumberFormat="1" applyFont="1" applyFill="1" applyBorder="1" applyAlignment="1">
      <alignment horizontal="center" vertical="top"/>
    </xf>
    <xf numFmtId="0" fontId="20" fillId="3" borderId="1" xfId="5" applyNumberFormat="1" applyFont="1" applyFill="1" applyBorder="1" applyAlignment="1">
      <alignment horizontal="center"/>
    </xf>
    <xf numFmtId="193" fontId="20" fillId="3" borderId="1" xfId="5" applyNumberFormat="1" applyFont="1" applyFill="1" applyBorder="1"/>
    <xf numFmtId="191" fontId="20" fillId="3" borderId="1" xfId="5" applyNumberFormat="1" applyFont="1" applyFill="1" applyBorder="1"/>
    <xf numFmtId="0" fontId="12" fillId="0" borderId="1" xfId="3" applyFont="1" applyBorder="1" applyAlignment="1" applyProtection="1">
      <alignment vertical="center"/>
    </xf>
    <xf numFmtId="0" fontId="12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30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right" vertical="center"/>
    </xf>
    <xf numFmtId="4" fontId="31" fillId="3" borderId="0" xfId="0" applyNumberFormat="1" applyFont="1" applyFill="1" applyAlignment="1">
      <alignment horizontal="center" vertical="center" wrapText="1"/>
    </xf>
    <xf numFmtId="0" fontId="31" fillId="3" borderId="0" xfId="3" applyFont="1" applyFill="1" applyAlignment="1" applyProtection="1">
      <alignment vertical="center"/>
    </xf>
    <xf numFmtId="0" fontId="31" fillId="3" borderId="0" xfId="0" applyFont="1" applyFill="1" applyAlignment="1">
      <alignment horizontal="center" vertical="top" wrapText="1"/>
    </xf>
    <xf numFmtId="4" fontId="31" fillId="3" borderId="0" xfId="0" applyNumberFormat="1" applyFont="1" applyFill="1" applyAlignment="1">
      <alignment horizontal="center" vertical="top" wrapText="1"/>
    </xf>
    <xf numFmtId="1" fontId="31" fillId="3" borderId="0" xfId="0" applyNumberFormat="1" applyFont="1" applyFill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31" fillId="3" borderId="0" xfId="3" applyFont="1" applyFill="1" applyBorder="1" applyAlignment="1" applyProtection="1">
      <alignment horizontal="center"/>
    </xf>
    <xf numFmtId="0" fontId="31" fillId="3" borderId="0" xfId="0" applyFont="1" applyFill="1" applyAlignment="1">
      <alignment horizontal="center" wrapText="1"/>
    </xf>
    <xf numFmtId="4" fontId="31" fillId="3" borderId="0" xfId="0" applyNumberFormat="1" applyFont="1" applyFill="1" applyAlignment="1">
      <alignment horizontal="right" wrapText="1"/>
    </xf>
    <xf numFmtId="0" fontId="30" fillId="3" borderId="0" xfId="0" applyFont="1" applyFill="1" applyAlignment="1">
      <alignment horizontal="center" wrapText="1"/>
    </xf>
    <xf numFmtId="0" fontId="31" fillId="3" borderId="0" xfId="0" applyFont="1" applyFill="1" applyAlignment="1">
      <alignment wrapText="1"/>
    </xf>
    <xf numFmtId="0" fontId="31" fillId="15" borderId="1" xfId="0" applyFont="1" applyFill="1" applyBorder="1" applyAlignment="1">
      <alignment horizontal="center" wrapText="1"/>
    </xf>
    <xf numFmtId="0" fontId="31" fillId="0" borderId="1" xfId="0" applyFont="1" applyBorder="1" applyAlignment="1">
      <alignment wrapText="1"/>
    </xf>
    <xf numFmtId="187" fontId="31" fillId="3" borderId="1" xfId="7" applyFont="1" applyFill="1" applyBorder="1" applyAlignment="1">
      <alignment horizontal="center" wrapText="1"/>
    </xf>
    <xf numFmtId="187" fontId="31" fillId="3" borderId="1" xfId="7" applyFont="1" applyFill="1" applyBorder="1" applyAlignment="1">
      <alignment horizontal="center" vertical="center"/>
    </xf>
    <xf numFmtId="0" fontId="31" fillId="0" borderId="1" xfId="0" applyFont="1" applyBorder="1"/>
    <xf numFmtId="0" fontId="30" fillId="3" borderId="0" xfId="0" applyFont="1" applyFill="1" applyAlignment="1">
      <alignment wrapText="1"/>
    </xf>
    <xf numFmtId="0" fontId="31" fillId="0" borderId="1" xfId="3" applyFont="1" applyFill="1" applyBorder="1" applyAlignment="1" applyProtection="1"/>
    <xf numFmtId="187" fontId="30" fillId="3" borderId="1" xfId="7" applyFont="1" applyFill="1" applyBorder="1" applyAlignment="1">
      <alignment horizontal="center" vertical="center" wrapText="1"/>
    </xf>
    <xf numFmtId="0" fontId="35" fillId="0" borderId="1" xfId="0" applyFont="1" applyBorder="1"/>
    <xf numFmtId="187" fontId="30" fillId="3" borderId="1" xfId="7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33" fillId="13" borderId="0" xfId="0" applyFont="1" applyFill="1" applyAlignment="1">
      <alignment horizontal="left" vertical="center"/>
    </xf>
    <xf numFmtId="0" fontId="33" fillId="13" borderId="0" xfId="0" applyFont="1" applyFill="1" applyAlignment="1">
      <alignment vertical="center"/>
    </xf>
    <xf numFmtId="0" fontId="32" fillId="13" borderId="0" xfId="0" applyFont="1" applyFill="1" applyAlignment="1">
      <alignment vertical="center"/>
    </xf>
    <xf numFmtId="0" fontId="36" fillId="1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vertical="center"/>
    </xf>
    <xf numFmtId="2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 wrapText="1"/>
    </xf>
    <xf numFmtId="0" fontId="31" fillId="3" borderId="0" xfId="3" applyFont="1" applyFill="1" applyBorder="1" applyAlignment="1" applyProtection="1">
      <alignment horizontal="left"/>
    </xf>
    <xf numFmtId="0" fontId="30" fillId="3" borderId="0" xfId="0" applyFont="1" applyFill="1" applyAlignment="1">
      <alignment horizontal="left" vertical="top" wrapText="1"/>
    </xf>
    <xf numFmtId="0" fontId="30" fillId="3" borderId="0" xfId="0" applyFont="1" applyFill="1" applyAlignment="1">
      <alignment horizontal="left" wrapText="1"/>
    </xf>
    <xf numFmtId="0" fontId="31" fillId="3" borderId="0" xfId="0" applyFont="1" applyFill="1" applyAlignment="1">
      <alignment horizontal="left" wrapText="1"/>
    </xf>
    <xf numFmtId="0" fontId="36" fillId="16" borderId="0" xfId="0" applyFont="1" applyFill="1" applyAlignment="1">
      <alignment vertical="center"/>
    </xf>
    <xf numFmtId="195" fontId="6" fillId="17" borderId="1" xfId="0" applyNumberFormat="1" applyFont="1" applyFill="1" applyBorder="1"/>
    <xf numFmtId="2" fontId="12" fillId="17" borderId="1" xfId="0" applyNumberFormat="1" applyFont="1" applyFill="1" applyBorder="1" applyAlignment="1">
      <alignment horizontal="right"/>
    </xf>
    <xf numFmtId="2" fontId="12" fillId="3" borderId="1" xfId="0" applyNumberFormat="1" applyFont="1" applyFill="1" applyBorder="1" applyAlignment="1">
      <alignment horizontal="right" wrapText="1"/>
    </xf>
    <xf numFmtId="2" fontId="38" fillId="0" borderId="5" xfId="0" applyNumberFormat="1" applyFont="1" applyBorder="1" applyAlignment="1">
      <alignment horizontal="right"/>
    </xf>
    <xf numFmtId="4" fontId="12" fillId="3" borderId="1" xfId="0" applyNumberFormat="1" applyFont="1" applyFill="1" applyBorder="1" applyAlignment="1">
      <alignment horizontal="right" wrapText="1"/>
    </xf>
    <xf numFmtId="2" fontId="38" fillId="0" borderId="2" xfId="0" applyNumberFormat="1" applyFont="1" applyBorder="1" applyAlignment="1">
      <alignment horizontal="right"/>
    </xf>
    <xf numFmtId="0" fontId="12" fillId="3" borderId="1" xfId="0" applyFont="1" applyFill="1" applyBorder="1" applyAlignment="1">
      <alignment horizontal="right" wrapText="1"/>
    </xf>
    <xf numFmtId="4" fontId="12" fillId="3" borderId="1" xfId="0" applyNumberFormat="1" applyFont="1" applyFill="1" applyBorder="1" applyAlignment="1">
      <alignment horizontal="right"/>
    </xf>
    <xf numFmtId="2" fontId="12" fillId="3" borderId="1" xfId="0" applyNumberFormat="1" applyFont="1" applyFill="1" applyBorder="1" applyAlignment="1">
      <alignment horizontal="right"/>
    </xf>
    <xf numFmtId="190" fontId="12" fillId="3" borderId="1" xfId="0" applyNumberFormat="1" applyFont="1" applyFill="1" applyBorder="1" applyAlignment="1">
      <alignment horizontal="right"/>
    </xf>
    <xf numFmtId="0" fontId="39" fillId="3" borderId="0" xfId="0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right" vertical="center"/>
    </xf>
    <xf numFmtId="0" fontId="39" fillId="3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center" wrapText="1"/>
    </xf>
    <xf numFmtId="0" fontId="40" fillId="3" borderId="1" xfId="0" applyFont="1" applyFill="1" applyBorder="1" applyAlignment="1">
      <alignment horizontal="right" wrapText="1"/>
    </xf>
    <xf numFmtId="0" fontId="40" fillId="3" borderId="1" xfId="0" applyFont="1" applyFill="1" applyBorder="1"/>
    <xf numFmtId="0" fontId="40" fillId="3" borderId="1" xfId="0" applyFont="1" applyFill="1" applyBorder="1" applyAlignment="1">
      <alignment horizontal="right"/>
    </xf>
    <xf numFmtId="188" fontId="40" fillId="3" borderId="1" xfId="0" applyNumberFormat="1" applyFont="1" applyFill="1" applyBorder="1" applyAlignment="1">
      <alignment horizontal="right" wrapText="1"/>
    </xf>
    <xf numFmtId="0" fontId="40" fillId="3" borderId="0" xfId="0" applyFont="1" applyFill="1" applyAlignment="1">
      <alignment horizontal="center"/>
    </xf>
    <xf numFmtId="2" fontId="40" fillId="3" borderId="1" xfId="0" applyNumberFormat="1" applyFont="1" applyFill="1" applyBorder="1" applyAlignment="1">
      <alignment horizontal="right" wrapText="1"/>
    </xf>
    <xf numFmtId="4" fontId="40" fillId="3" borderId="1" xfId="0" applyNumberFormat="1" applyFont="1" applyFill="1" applyBorder="1" applyAlignment="1">
      <alignment horizontal="right" wrapText="1"/>
    </xf>
    <xf numFmtId="188" fontId="40" fillId="3" borderId="1" xfId="0" applyNumberFormat="1" applyFont="1" applyFill="1" applyBorder="1" applyAlignment="1">
      <alignment horizontal="right"/>
    </xf>
    <xf numFmtId="190" fontId="40" fillId="3" borderId="1" xfId="0" applyNumberFormat="1" applyFont="1" applyFill="1" applyBorder="1" applyAlignment="1">
      <alignment horizontal="right"/>
    </xf>
    <xf numFmtId="0" fontId="40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top" wrapText="1"/>
    </xf>
    <xf numFmtId="2" fontId="38" fillId="0" borderId="0" xfId="0" applyNumberFormat="1" applyFont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2" fillId="0" borderId="2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0" fontId="35" fillId="15" borderId="1" xfId="0" applyFont="1" applyFill="1" applyBorder="1" applyAlignment="1">
      <alignment horizontal="center"/>
    </xf>
    <xf numFmtId="17" fontId="35" fillId="15" borderId="1" xfId="0" applyNumberFormat="1" applyFont="1" applyFill="1" applyBorder="1" applyAlignment="1">
      <alignment horizontal="center"/>
    </xf>
    <xf numFmtId="4" fontId="40" fillId="3" borderId="1" xfId="0" applyNumberFormat="1" applyFont="1" applyFill="1" applyBorder="1" applyAlignment="1">
      <alignment horizontal="right"/>
    </xf>
    <xf numFmtId="2" fontId="40" fillId="3" borderId="1" xfId="0" applyNumberFormat="1" applyFont="1" applyFill="1" applyBorder="1" applyAlignment="1">
      <alignment horizontal="right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4" fontId="6" fillId="16" borderId="1" xfId="0" applyNumberFormat="1" applyFont="1" applyFill="1" applyBorder="1" applyAlignment="1">
      <alignment horizontal="center" vertical="top" wrapText="1"/>
    </xf>
    <xf numFmtId="4" fontId="6" fillId="18" borderId="1" xfId="0" applyNumberFormat="1" applyFont="1" applyFill="1" applyBorder="1" applyAlignment="1">
      <alignment horizontal="center" vertical="top" wrapText="1"/>
    </xf>
    <xf numFmtId="2" fontId="6" fillId="18" borderId="1" xfId="0" applyNumberFormat="1" applyFont="1" applyFill="1" applyBorder="1" applyAlignment="1">
      <alignment horizontal="center" vertical="top" wrapText="1"/>
    </xf>
    <xf numFmtId="2" fontId="6" fillId="16" borderId="1" xfId="0" applyNumberFormat="1" applyFont="1" applyFill="1" applyBorder="1" applyAlignment="1">
      <alignment horizontal="center" vertical="top" wrapText="1"/>
    </xf>
    <xf numFmtId="187" fontId="31" fillId="19" borderId="1" xfId="7" applyFont="1" applyFill="1" applyBorder="1" applyAlignment="1">
      <alignment horizontal="center" vertical="center"/>
    </xf>
    <xf numFmtId="187" fontId="31" fillId="16" borderId="1" xfId="7" applyFont="1" applyFill="1" applyBorder="1" applyAlignment="1">
      <alignment horizontal="center" vertical="center"/>
    </xf>
    <xf numFmtId="187" fontId="31" fillId="16" borderId="1" xfId="7" applyFont="1" applyFill="1" applyBorder="1" applyAlignment="1">
      <alignment vertical="center"/>
    </xf>
    <xf numFmtId="0" fontId="30" fillId="3" borderId="0" xfId="0" applyFont="1" applyFill="1" applyAlignment="1">
      <alignment horizontal="center" vertical="center"/>
    </xf>
    <xf numFmtId="187" fontId="6" fillId="2" borderId="1" xfId="1" applyNumberFormat="1" applyFont="1" applyFill="1" applyBorder="1"/>
    <xf numFmtId="187" fontId="12" fillId="3" borderId="1" xfId="7" applyFont="1" applyFill="1" applyBorder="1" applyAlignment="1">
      <alignment horizontal="right" wrapText="1"/>
    </xf>
    <xf numFmtId="187" fontId="12" fillId="17" borderId="1" xfId="7" applyFont="1" applyFill="1" applyBorder="1" applyAlignment="1">
      <alignment horizontal="right"/>
    </xf>
    <xf numFmtId="0" fontId="45" fillId="8" borderId="0" xfId="0" applyFont="1" applyFill="1"/>
    <xf numFmtId="187" fontId="12" fillId="3" borderId="1" xfId="0" applyNumberFormat="1" applyFont="1" applyFill="1" applyBorder="1" applyAlignment="1">
      <alignment horizontal="right"/>
    </xf>
    <xf numFmtId="187" fontId="13" fillId="3" borderId="1" xfId="0" applyNumberFormat="1" applyFont="1" applyFill="1" applyBorder="1" applyAlignment="1">
      <alignment horizontal="right"/>
    </xf>
    <xf numFmtId="0" fontId="39" fillId="3" borderId="1" xfId="0" applyFont="1" applyFill="1" applyBorder="1" applyAlignment="1">
      <alignment horizontal="center"/>
    </xf>
    <xf numFmtId="0" fontId="40" fillId="0" borderId="1" xfId="3" applyFont="1" applyBorder="1" applyAlignment="1" applyProtection="1">
      <alignment horizontal="center"/>
    </xf>
    <xf numFmtId="0" fontId="39" fillId="3" borderId="5" xfId="0" applyFont="1" applyFill="1" applyBorder="1" applyAlignment="1">
      <alignment horizontal="left" wrapText="1"/>
    </xf>
    <xf numFmtId="0" fontId="39" fillId="3" borderId="2" xfId="0" applyFont="1" applyFill="1" applyBorder="1" applyAlignment="1">
      <alignment horizontal="left" wrapText="1"/>
    </xf>
    <xf numFmtId="0" fontId="40" fillId="3" borderId="5" xfId="0" applyFont="1" applyFill="1" applyBorder="1" applyAlignment="1">
      <alignment horizontal="left" wrapText="1"/>
    </xf>
    <xf numFmtId="0" fontId="40" fillId="3" borderId="2" xfId="0" applyFont="1" applyFill="1" applyBorder="1" applyAlignment="1">
      <alignment horizontal="left" wrapText="1"/>
    </xf>
    <xf numFmtId="0" fontId="39" fillId="3" borderId="1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wrapText="1"/>
    </xf>
    <xf numFmtId="0" fontId="39" fillId="2" borderId="2" xfId="0" applyFont="1" applyFill="1" applyBorder="1" applyAlignment="1">
      <alignment horizontal="left" wrapText="1"/>
    </xf>
    <xf numFmtId="0" fontId="39" fillId="9" borderId="5" xfId="0" applyFont="1" applyFill="1" applyBorder="1" applyAlignment="1">
      <alignment horizontal="left" wrapText="1"/>
    </xf>
    <xf numFmtId="0" fontId="39" fillId="9" borderId="2" xfId="0" applyFont="1" applyFill="1" applyBorder="1" applyAlignment="1">
      <alignment horizontal="left" wrapText="1"/>
    </xf>
    <xf numFmtId="0" fontId="4" fillId="13" borderId="10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left"/>
    </xf>
    <xf numFmtId="0" fontId="40" fillId="3" borderId="2" xfId="0" applyFont="1" applyFill="1" applyBorder="1" applyAlignment="1">
      <alignment horizontal="left"/>
    </xf>
    <xf numFmtId="0" fontId="40" fillId="0" borderId="5" xfId="3" applyFont="1" applyBorder="1" applyAlignment="1" applyProtection="1">
      <alignment horizontal="left"/>
    </xf>
    <xf numFmtId="0" fontId="40" fillId="0" borderId="2" xfId="3" applyFont="1" applyBorder="1" applyAlignment="1" applyProtection="1">
      <alignment horizontal="left"/>
    </xf>
    <xf numFmtId="0" fontId="39" fillId="3" borderId="6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/>
    </xf>
    <xf numFmtId="0" fontId="39" fillId="3" borderId="12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34" fillId="1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1" fillId="11" borderId="5" xfId="4" applyFont="1" applyFill="1" applyBorder="1" applyAlignment="1">
      <alignment horizontal="center"/>
    </xf>
    <xf numFmtId="0" fontId="21" fillId="11" borderId="2" xfId="4" applyFont="1" applyFill="1" applyBorder="1" applyAlignment="1">
      <alignment horizontal="center"/>
    </xf>
    <xf numFmtId="0" fontId="19" fillId="10" borderId="1" xfId="4" applyFont="1" applyFill="1" applyBorder="1" applyAlignment="1">
      <alignment horizontal="center" vertical="center"/>
    </xf>
    <xf numFmtId="0" fontId="17" fillId="10" borderId="1" xfId="4" applyFont="1" applyFill="1" applyBorder="1" applyAlignment="1">
      <alignment horizontal="center" vertical="center"/>
    </xf>
    <xf numFmtId="0" fontId="19" fillId="10" borderId="5" xfId="4" applyFont="1" applyFill="1" applyBorder="1" applyAlignment="1">
      <alignment horizontal="center" vertical="center"/>
    </xf>
    <xf numFmtId="0" fontId="19" fillId="10" borderId="4" xfId="4" applyFont="1" applyFill="1" applyBorder="1" applyAlignment="1">
      <alignment horizontal="center" vertical="center"/>
    </xf>
    <xf numFmtId="194" fontId="20" fillId="3" borderId="1" xfId="5" applyNumberFormat="1" applyFont="1" applyFill="1" applyBorder="1" applyAlignment="1">
      <alignment horizontal="center" vertical="top"/>
    </xf>
    <xf numFmtId="193" fontId="20" fillId="3" borderId="14" xfId="5" applyNumberFormat="1" applyFont="1" applyFill="1" applyBorder="1" applyAlignment="1">
      <alignment horizontal="center"/>
    </xf>
    <xf numFmtId="0" fontId="20" fillId="3" borderId="5" xfId="4" applyFont="1" applyFill="1" applyBorder="1" applyAlignment="1">
      <alignment horizontal="center" vertical="top"/>
    </xf>
    <xf numFmtId="0" fontId="20" fillId="3" borderId="4" xfId="4" applyFont="1" applyFill="1" applyBorder="1" applyAlignment="1">
      <alignment horizontal="center" vertical="top"/>
    </xf>
    <xf numFmtId="0" fontId="20" fillId="3" borderId="2" xfId="4" applyFont="1" applyFill="1" applyBorder="1" applyAlignment="1">
      <alignment horizontal="center" vertical="top"/>
    </xf>
  </cellXfs>
  <cellStyles count="11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  <cellStyle name="ปกติ 2 2" xfId="9" xr:uid="{DE2E5BDF-2352-481E-AF92-DFABD2167DF9}"/>
    <cellStyle name="ปกติ 3" xfId="10" xr:uid="{13D6875C-940C-420C-9DCD-A16AF9E158D1}"/>
    <cellStyle name="ปกติ 4" xfId="8" xr:uid="{1FA219F1-CEAD-446D-BA34-5BF42481AAB9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(tCO2e)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</a:p>
          <a:p>
            <a:pPr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48775153105862"/>
          <c:y val="0.19677672955974843"/>
          <c:w val="0.87880854476523773"/>
          <c:h val="0.600878192112778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3.7534559999999995</c:v>
                </c:pt>
                <c:pt idx="1">
                  <c:v>27.307987310000005</c:v>
                </c:pt>
                <c:pt idx="2">
                  <c:v>9.7045416800000002</c:v>
                </c:pt>
                <c:pt idx="3">
                  <c:v>40.765984990000007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C-46BE-A23B-EF193A716A4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1.6407552000000001</c:v>
                </c:pt>
                <c:pt idx="1">
                  <c:v>9.2796437000000012</c:v>
                </c:pt>
                <c:pt idx="2">
                  <c:v>6.1207539999999998</c:v>
                </c:pt>
                <c:pt idx="3">
                  <c:v>17.0411529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C-46BE-A23B-EF193A71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019312"/>
        <c:axId val="628423536"/>
        <c:axId val="0"/>
      </c:bar3DChart>
      <c:catAx>
        <c:axId val="62401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628423536"/>
        <c:crosses val="autoZero"/>
        <c:auto val="1"/>
        <c:lblAlgn val="ctr"/>
        <c:lblOffset val="100"/>
        <c:noMultiLvlLbl val="0"/>
      </c:catAx>
      <c:valAx>
        <c:axId val="6284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6240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ปริมาณการปล่อยก๊าซเรือนกระจกแยกประเภท </a:t>
            </a:r>
            <a:r>
              <a:rPr lang="en-US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(tCO2)</a:t>
            </a:r>
            <a:endParaRPr lang="th-TH" sz="2400" b="1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endParaRPr>
          </a:p>
          <a:p>
            <a:pPr>
              <a:defRPr/>
            </a:pPr>
            <a:r>
              <a:rPr lang="th-TH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ปี 2568</a:t>
            </a:r>
            <a:r>
              <a:rPr lang="th-TH" sz="2400" b="1" baseline="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 (เดือนมกราคม ถึง มิถุนายน)</a:t>
            </a:r>
            <a:endParaRPr lang="th-TH" sz="2400" b="1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0CD-4A7F-84A7-8A3E88ADC3A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0CD-4A7F-84A7-8A3E88ADC3A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0CD-4A7F-84A7-8A3E88ADC3A5}"/>
              </c:ext>
            </c:extLst>
          </c:dPt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1.6407552000000001</c:v>
                </c:pt>
                <c:pt idx="1">
                  <c:v>9.2796437000000012</c:v>
                </c:pt>
                <c:pt idx="2">
                  <c:v>6.1207539999999998</c:v>
                </c:pt>
                <c:pt idx="3">
                  <c:v>17.0411529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CD-4A7F-84A7-8A3E88ADC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9177416"/>
        <c:axId val="829177056"/>
        <c:axId val="0"/>
      </c:bar3DChart>
      <c:catAx>
        <c:axId val="82917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29177056"/>
        <c:crosses val="autoZero"/>
        <c:auto val="1"/>
        <c:lblAlgn val="ctr"/>
        <c:lblOffset val="100"/>
        <c:noMultiLvlLbl val="0"/>
      </c:catAx>
      <c:valAx>
        <c:axId val="82917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2917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ของปี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8"/>
          <c:order val="18"/>
          <c:tx>
            <c:strRef>
              <c:f>'สรุปการคำนวณ ปี 2568'!$C$70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2568'!$D$70:$Q$70</c:f>
              <c:numCache>
                <c:formatCode>_-* #,##0.00_-;\-* #,##0.00_-;_-* "-"??_-;_-@_-</c:formatCode>
                <c:ptCount val="14"/>
                <c:pt idx="0">
                  <c:v>2516.1448399999999</c:v>
                </c:pt>
                <c:pt idx="1">
                  <c:v>2968.9023799999995</c:v>
                </c:pt>
                <c:pt idx="2">
                  <c:v>2777.2606599999999</c:v>
                </c:pt>
                <c:pt idx="3">
                  <c:v>5444.3085600000004</c:v>
                </c:pt>
                <c:pt idx="4">
                  <c:v>2571.7124600000002</c:v>
                </c:pt>
                <c:pt idx="5">
                  <c:v>762.82399999999984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17041.152900000001</c:v>
                </c:pt>
                <c:pt idx="13">
                  <c:v>1420.0960750000002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E-4273-B73B-5754919FEF17}"/>
            </c:ext>
          </c:extLst>
        </c:ser>
        <c:ser>
          <c:idx val="19"/>
          <c:order val="19"/>
          <c:tx>
            <c:strRef>
              <c:f>'สรุปการคำนวณ ปี 2568'!$C$71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2568'!$D$71:$Q$71</c:f>
              <c:numCache>
                <c:formatCode>_-* #,##0.00_-;\-* #,##0.00_-;_-* "-"??_-;_-@_-</c:formatCode>
                <c:ptCount val="14"/>
                <c:pt idx="0">
                  <c:v>1535.1501100000003</c:v>
                </c:pt>
                <c:pt idx="1">
                  <c:v>4682.7235550000005</c:v>
                </c:pt>
                <c:pt idx="2">
                  <c:v>741.22862000000009</c:v>
                </c:pt>
                <c:pt idx="3">
                  <c:v>2519.3013680000004</c:v>
                </c:pt>
                <c:pt idx="4">
                  <c:v>3174.9645320000004</c:v>
                </c:pt>
                <c:pt idx="5">
                  <c:v>3102.1587019999997</c:v>
                </c:pt>
                <c:pt idx="6">
                  <c:v>5134.367694999999</c:v>
                </c:pt>
                <c:pt idx="7">
                  <c:v>4956.7804669999996</c:v>
                </c:pt>
                <c:pt idx="8">
                  <c:v>2348.318741</c:v>
                </c:pt>
                <c:pt idx="9">
                  <c:v>5878.4026199999998</c:v>
                </c:pt>
                <c:pt idx="10">
                  <c:v>3562.2137399999997</c:v>
                </c:pt>
                <c:pt idx="11">
                  <c:v>3130.3748400000004</c:v>
                </c:pt>
                <c:pt idx="12">
                  <c:v>40765.984989999997</c:v>
                </c:pt>
                <c:pt idx="13">
                  <c:v>3397.1654158333331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E-4273-B73B-5754919F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767832"/>
        <c:axId val="372769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'สรุปการคำนวณ ปี 2568'!$C$52</c15:sqref>
                        </c15:formulaRef>
                      </c:ext>
                    </c:extLst>
                    <c:strCache>
                      <c:ptCount val="1"/>
                      <c:pt idx="0">
                        <c:v>Diesel (Generator) สำหรับงานอาคาร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'สรุปการคำนวณ ปี 2568'!$D$52:$Q$52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49E-4273-B73B-5754919FEF1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2568'!$C$53</c15:sqref>
                        </c15:formulaRef>
                      </c:ext>
                    </c:extLst>
                    <c:strCache>
                      <c:ptCount val="1"/>
                      <c:pt idx="0">
                        <c:v>Diesel (Fire pump) สำหรับงานอาคาร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2568'!$D$53:$Q$53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49E-4273-B73B-5754919FEF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2568'!$C$54</c15:sqref>
                        </c15:formulaRef>
                      </c:ext>
                    </c:extLst>
                    <c:strCache>
                      <c:ptCount val="1"/>
                      <c:pt idx="0">
                        <c:v>น้ำมัน Diesel สำหรับการเดินทาง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2568'!$D$54:$Q$54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49E-4273-B73B-5754919FEF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2568'!$C$55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91, E20, E85 การเดินทาง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2568'!$D$55:$Q$55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49E-4273-B73B-5754919FEF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2568'!$C$56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95 สำหรับการเดินทาง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2568'!$D$56:$Q$56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49E-4273-B73B-5754919FEF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2568'!$C$57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การใช้สารดับเพลิง (CO2)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2568'!$D$57:$Q$57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49E-4273-B73B-5754919FEF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2568'!$C$58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การปล่อยมีเทนจากระบบ septic tank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2568'!$D$58:$Q$58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229.15200000000004</c:v>
                      </c:pt>
                      <c:pt idx="1">
                        <c:v>197.90400000000002</c:v>
                      </c:pt>
                      <c:pt idx="2">
                        <c:v>218.73600000000002</c:v>
                      </c:pt>
                      <c:pt idx="3">
                        <c:v>187.488</c:v>
                      </c:pt>
                      <c:pt idx="4">
                        <c:v>197.90400000000002</c:v>
                      </c:pt>
                      <c:pt idx="5">
                        <c:v>197.90400000000002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1229.088</c:v>
                      </c:pt>
                      <c:pt idx="13">
                        <c:v>102.42399999999999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49E-4273-B73B-5754919FEF1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2568'!$C$59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การปล่อยมีเทนจากบ่อบำบัดน้ำเสียแบบไม่เติมอากาศ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2568'!$D$59:$Q$59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105.36960000000001</c:v>
                      </c:pt>
                      <c:pt idx="1">
                        <c:v>89.779200000000003</c:v>
                      </c:pt>
                      <c:pt idx="2">
                        <c:v>72.979200000000006</c:v>
                      </c:pt>
                      <c:pt idx="3">
                        <c:v>65.452800000000011</c:v>
                      </c:pt>
                      <c:pt idx="4">
                        <c:v>78.086399999999998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411.66719999999998</c:v>
                      </c:pt>
                      <c:pt idx="13">
                        <c:v>34.305599999999998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49E-4273-B73B-5754919FEF1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2568'!$C$60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R22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2568'!$D$60:$Q$60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49E-4273-B73B-5754919FEF1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2568'!$C$61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R32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2568'!$D$61:$Q$61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49E-4273-B73B-5754919FEF1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2568'!$C$62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การใช้พลังงานไฟฟ้า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2568'!$D$62:$Q$62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1314.2371000000001</c:v>
                      </c:pt>
                      <c:pt idx="1">
                        <c:v>1734.1531</c:v>
                      </c:pt>
                      <c:pt idx="2">
                        <c:v>1234.7529999999999</c:v>
                      </c:pt>
                      <c:pt idx="3">
                        <c:v>3438.3122000000003</c:v>
                      </c:pt>
                      <c:pt idx="4">
                        <c:v>1558.1883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9279.6437000000005</c:v>
                      </c:pt>
                      <c:pt idx="13">
                        <c:v>773.30364166666675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49E-4273-B73B-5754919FEF1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2568'!$C$63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การใช้กระดาษ A4 และ A3 (สีขาว)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2568'!$D$63:$Q$63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13.810140000000001</c:v>
                      </c:pt>
                      <c:pt idx="1">
                        <c:v>73.654079999999993</c:v>
                      </c:pt>
                      <c:pt idx="2">
                        <c:v>141.31745999999998</c:v>
                      </c:pt>
                      <c:pt idx="3">
                        <c:v>45.991759999999992</c:v>
                      </c:pt>
                      <c:pt idx="4">
                        <c:v>61.756759999999993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336.53019999999998</c:v>
                      </c:pt>
                      <c:pt idx="13">
                        <c:v>28.044183333333333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49E-4273-B73B-5754919FEF1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2568'!$C$64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น้ำประปา-การประปานครหลวง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2568'!$D$64:$Q$64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49E-4273-B73B-5754919FEF17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2568'!$C$65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น้ำประปา-การประปาส่วนภูมิภาค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2568'!$D$65:$Q$65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424.14400000000001</c:v>
                      </c:pt>
                      <c:pt idx="1">
                        <c:v>361.38800000000003</c:v>
                      </c:pt>
                      <c:pt idx="2">
                        <c:v>293.76300000000003</c:v>
                      </c:pt>
                      <c:pt idx="3">
                        <c:v>263.46700000000004</c:v>
                      </c:pt>
                      <c:pt idx="4">
                        <c:v>314.32100000000003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1657.0830000000001</c:v>
                      </c:pt>
                      <c:pt idx="13">
                        <c:v>138.09025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49E-4273-B73B-5754919FEF17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2568'!$C$66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(ฝังกลบ)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2568'!$D$66:$Q$66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429.43200000000002</c:v>
                      </c:pt>
                      <c:pt idx="1">
                        <c:v>512.024</c:v>
                      </c:pt>
                      <c:pt idx="2">
                        <c:v>815.71199999999999</c:v>
                      </c:pt>
                      <c:pt idx="3">
                        <c:v>1443.5968</c:v>
                      </c:pt>
                      <c:pt idx="4">
                        <c:v>361.45599999999996</c:v>
                      </c:pt>
                      <c:pt idx="5">
                        <c:v>564.91999999999985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4127.1408000000001</c:v>
                      </c:pt>
                      <c:pt idx="13">
                        <c:v>343.92840000000001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49E-4273-B73B-5754919FEF17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2568'!$C$67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(เผากำจัดโดยใช้น้ำมันดีเซล)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2568'!$D$67:$Q$67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49E-4273-B73B-5754919FEF1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2568'!$C$68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2568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2568'!$D$68:$Q$68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31</c:v>
                      </c:pt>
                      <c:pt idx="1">
                        <c:v>31</c:v>
                      </c:pt>
                      <c:pt idx="2">
                        <c:v>31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31</c:v>
                      </c:pt>
                      <c:pt idx="6">
                        <c:v>31</c:v>
                      </c:pt>
                      <c:pt idx="7">
                        <c:v>331</c:v>
                      </c:pt>
                      <c:pt idx="8">
                        <c:v>31</c:v>
                      </c:pt>
                      <c:pt idx="9">
                        <c:v>30</c:v>
                      </c:pt>
                      <c:pt idx="10">
                        <c:v>30</c:v>
                      </c:pt>
                      <c:pt idx="11">
                        <c:v>30</c:v>
                      </c:pt>
                      <c:pt idx="12">
                        <c:v>669</c:v>
                      </c:pt>
                      <c:pt idx="13">
                        <c:v>55.75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49E-4273-B73B-5754919FEF17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2568'!$C$69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2567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2568'!$D$69:$Q$69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32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32</c:v>
                      </c:pt>
                      <c:pt idx="4">
                        <c:v>32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32</c:v>
                      </c:pt>
                      <c:pt idx="8">
                        <c:v>32</c:v>
                      </c:pt>
                      <c:pt idx="9">
                        <c:v>31</c:v>
                      </c:pt>
                      <c:pt idx="10">
                        <c:v>31</c:v>
                      </c:pt>
                      <c:pt idx="11">
                        <c:v>31</c:v>
                      </c:pt>
                      <c:pt idx="12">
                        <c:v>381</c:v>
                      </c:pt>
                      <c:pt idx="13">
                        <c:v>31.75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349E-4273-B73B-5754919FEF17}"/>
                  </c:ext>
                </c:extLst>
              </c15:ser>
            </c15:filteredBarSeries>
          </c:ext>
        </c:extLst>
      </c:barChart>
      <c:catAx>
        <c:axId val="3727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372769272"/>
        <c:crosses val="autoZero"/>
        <c:auto val="1"/>
        <c:lblAlgn val="ctr"/>
        <c:lblOffset val="100"/>
        <c:noMultiLvlLbl val="0"/>
      </c:catAx>
      <c:valAx>
        <c:axId val="37276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37276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การเปรียบเทียบปริมาณก๊าซเรือนกระจกต่อคน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kgCO2e/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ของปี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2"/>
          <c:order val="22"/>
          <c:tx>
            <c:strRef>
              <c:f>'สรุปการคำนวณ ปี 2568'!$C$74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2568'!$D$74:$Q$74</c:f>
              <c:numCache>
                <c:formatCode>_-* #,##0.00_-;\-* #,##0.00_-;_-* "-"??_-;_-@_-</c:formatCode>
                <c:ptCount val="14"/>
                <c:pt idx="0">
                  <c:v>81.165962580645157</c:v>
                </c:pt>
                <c:pt idx="1">
                  <c:v>95.771044516129024</c:v>
                </c:pt>
                <c:pt idx="2">
                  <c:v>89.589053548387099</c:v>
                </c:pt>
                <c:pt idx="3">
                  <c:v>175.62285677419356</c:v>
                </c:pt>
                <c:pt idx="4">
                  <c:v>82.958466451612907</c:v>
                </c:pt>
                <c:pt idx="5">
                  <c:v>24.607225806451609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549.71460967741939</c:v>
                </c:pt>
                <c:pt idx="13">
                  <c:v>45.809550806451618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E-4791-A790-FB25A43B8854}"/>
            </c:ext>
          </c:extLst>
        </c:ser>
        <c:ser>
          <c:idx val="23"/>
          <c:order val="23"/>
          <c:tx>
            <c:strRef>
              <c:f>'สรุปการคำนวณ ปี 2568'!$C$75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2568'!$D$75:$Q$75</c:f>
              <c:numCache>
                <c:formatCode>_-* #,##0.00_-;\-* #,##0.00_-;_-* "-"??_-;_-@_-</c:formatCode>
                <c:ptCount val="14"/>
                <c:pt idx="0">
                  <c:v>47.973440937500008</c:v>
                </c:pt>
                <c:pt idx="1">
                  <c:v>146.33511109375002</c:v>
                </c:pt>
                <c:pt idx="2">
                  <c:v>23.163394375000003</c:v>
                </c:pt>
                <c:pt idx="3">
                  <c:v>78.728167750000011</c:v>
                </c:pt>
                <c:pt idx="4">
                  <c:v>99.217641625000013</c:v>
                </c:pt>
                <c:pt idx="5">
                  <c:v>96.942459437499991</c:v>
                </c:pt>
                <c:pt idx="6">
                  <c:v>160.44899046874997</c:v>
                </c:pt>
                <c:pt idx="7">
                  <c:v>154.89938959374999</c:v>
                </c:pt>
                <c:pt idx="8">
                  <c:v>73.384960656250001</c:v>
                </c:pt>
                <c:pt idx="9">
                  <c:v>189.62589096774192</c:v>
                </c:pt>
                <c:pt idx="10">
                  <c:v>114.91012064516129</c:v>
                </c:pt>
                <c:pt idx="11">
                  <c:v>100.97983354838711</c:v>
                </c:pt>
                <c:pt idx="12">
                  <c:v>1286.6094010987904</c:v>
                </c:pt>
                <c:pt idx="13">
                  <c:v>107.21745009156587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E-4791-A790-FB25A43B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614528"/>
        <c:axId val="836615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'สรุปการคำนวณ ปี 2568'!$C$52</c15:sqref>
                        </c15:formulaRef>
                      </c:ext>
                    </c:extLst>
                    <c:strCache>
                      <c:ptCount val="1"/>
                      <c:pt idx="0">
                        <c:v>Diesel (Generator) สำหรับงานอาคาร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'สรุปการคำนวณ ปี 2568'!$D$52:$Q$52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42E-4791-A790-FB25A43B885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2568'!$C$53</c15:sqref>
                        </c15:formulaRef>
                      </c:ext>
                    </c:extLst>
                    <c:strCache>
                      <c:ptCount val="1"/>
                      <c:pt idx="0">
                        <c:v>Diesel (Fire pump) สำหรับงานอาคาร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2568'!$D$53:$Q$53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42E-4791-A790-FB25A43B885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2568'!$C$54</c15:sqref>
                        </c15:formulaRef>
                      </c:ext>
                    </c:extLst>
                    <c:strCache>
                      <c:ptCount val="1"/>
                      <c:pt idx="0">
                        <c:v>น้ำมัน Diesel สำหรับการเดินทาง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2568'!$D$54:$Q$54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2E-4791-A790-FB25A43B885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2568'!$C$55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91, E20, E85 การเดินทาง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2568'!$D$55:$Q$55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2E-4791-A790-FB25A43B885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2568'!$C$56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95 สำหรับการเดินทาง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2568'!$D$56:$Q$56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42E-4791-A790-FB25A43B885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2568'!$C$57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การใช้สารดับเพลิง (CO2)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2568'!$D$57:$Q$57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42E-4791-A790-FB25A43B885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2568'!$C$58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การปล่อยมีเทนจากระบบ septic tank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2568'!$D$58:$Q$58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229.15200000000004</c:v>
                      </c:pt>
                      <c:pt idx="1">
                        <c:v>197.90400000000002</c:v>
                      </c:pt>
                      <c:pt idx="2">
                        <c:v>218.73600000000002</c:v>
                      </c:pt>
                      <c:pt idx="3">
                        <c:v>187.488</c:v>
                      </c:pt>
                      <c:pt idx="4">
                        <c:v>197.90400000000002</c:v>
                      </c:pt>
                      <c:pt idx="5">
                        <c:v>197.90400000000002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1229.088</c:v>
                      </c:pt>
                      <c:pt idx="13">
                        <c:v>102.42399999999999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42E-4791-A790-FB25A43B885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2568'!$C$59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การปล่อยมีเทนจากบ่อบำบัดน้ำเสียแบบไม่เติมอากาศ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2568'!$D$59:$Q$59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105.36960000000001</c:v>
                      </c:pt>
                      <c:pt idx="1">
                        <c:v>89.779200000000003</c:v>
                      </c:pt>
                      <c:pt idx="2">
                        <c:v>72.979200000000006</c:v>
                      </c:pt>
                      <c:pt idx="3">
                        <c:v>65.452800000000011</c:v>
                      </c:pt>
                      <c:pt idx="4">
                        <c:v>78.086399999999998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411.66719999999998</c:v>
                      </c:pt>
                      <c:pt idx="13">
                        <c:v>34.305599999999998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42E-4791-A790-FB25A43B885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2568'!$C$60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R22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2568'!$D$60:$Q$60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42E-4791-A790-FB25A43B885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2568'!$C$61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R32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2568'!$D$61:$Q$61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42E-4791-A790-FB25A43B885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2568'!$C$62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การใช้พลังงานไฟฟ้า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2568'!$D$62:$Q$62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1314.2371000000001</c:v>
                      </c:pt>
                      <c:pt idx="1">
                        <c:v>1734.1531</c:v>
                      </c:pt>
                      <c:pt idx="2">
                        <c:v>1234.7529999999999</c:v>
                      </c:pt>
                      <c:pt idx="3">
                        <c:v>3438.3122000000003</c:v>
                      </c:pt>
                      <c:pt idx="4">
                        <c:v>1558.1883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9279.6437000000005</c:v>
                      </c:pt>
                      <c:pt idx="13">
                        <c:v>773.30364166666675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42E-4791-A790-FB25A43B885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2568'!$C$63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การใช้กระดาษ A4 และ A3 (สีขาว)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2568'!$D$63:$Q$63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13.810140000000001</c:v>
                      </c:pt>
                      <c:pt idx="1">
                        <c:v>73.654079999999993</c:v>
                      </c:pt>
                      <c:pt idx="2">
                        <c:v>141.31745999999998</c:v>
                      </c:pt>
                      <c:pt idx="3">
                        <c:v>45.991759999999992</c:v>
                      </c:pt>
                      <c:pt idx="4">
                        <c:v>61.756759999999993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336.53019999999998</c:v>
                      </c:pt>
                      <c:pt idx="13">
                        <c:v>28.044183333333333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42E-4791-A790-FB25A43B885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2568'!$C$64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น้ำประปา-การประปานครหลวง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2568'!$D$64:$Q$64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42E-4791-A790-FB25A43B885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2568'!$C$65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น้ำประปา-การประปาส่วนภูมิภาค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2568'!$D$65:$Q$65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424.14400000000001</c:v>
                      </c:pt>
                      <c:pt idx="1">
                        <c:v>361.38800000000003</c:v>
                      </c:pt>
                      <c:pt idx="2">
                        <c:v>293.76300000000003</c:v>
                      </c:pt>
                      <c:pt idx="3">
                        <c:v>263.46700000000004</c:v>
                      </c:pt>
                      <c:pt idx="4">
                        <c:v>314.32100000000003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1657.0830000000001</c:v>
                      </c:pt>
                      <c:pt idx="13">
                        <c:v>138.09025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42E-4791-A790-FB25A43B885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2568'!$C$66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(ฝังกลบ)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2568'!$D$66:$Q$66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429.43200000000002</c:v>
                      </c:pt>
                      <c:pt idx="1">
                        <c:v>512.024</c:v>
                      </c:pt>
                      <c:pt idx="2">
                        <c:v>815.71199999999999</c:v>
                      </c:pt>
                      <c:pt idx="3">
                        <c:v>1443.5968</c:v>
                      </c:pt>
                      <c:pt idx="4">
                        <c:v>361.45599999999996</c:v>
                      </c:pt>
                      <c:pt idx="5">
                        <c:v>564.91999999999985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4127.1408000000001</c:v>
                      </c:pt>
                      <c:pt idx="13">
                        <c:v>343.92840000000001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42E-4791-A790-FB25A43B885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2568'!$C$67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(เผากำจัดโดยใช้น้ำมันดีเซล)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2568'!$D$67:$Q$67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42E-4791-A790-FB25A43B885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2568'!$C$68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2568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2568'!$D$68:$Q$68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31</c:v>
                      </c:pt>
                      <c:pt idx="1">
                        <c:v>31</c:v>
                      </c:pt>
                      <c:pt idx="2">
                        <c:v>31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31</c:v>
                      </c:pt>
                      <c:pt idx="6">
                        <c:v>31</c:v>
                      </c:pt>
                      <c:pt idx="7">
                        <c:v>331</c:v>
                      </c:pt>
                      <c:pt idx="8">
                        <c:v>31</c:v>
                      </c:pt>
                      <c:pt idx="9">
                        <c:v>30</c:v>
                      </c:pt>
                      <c:pt idx="10">
                        <c:v>30</c:v>
                      </c:pt>
                      <c:pt idx="11">
                        <c:v>30</c:v>
                      </c:pt>
                      <c:pt idx="12">
                        <c:v>669</c:v>
                      </c:pt>
                      <c:pt idx="13">
                        <c:v>55.75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42E-4791-A790-FB25A43B885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2568'!$C$69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2567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2568'!$D$69:$Q$69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32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32</c:v>
                      </c:pt>
                      <c:pt idx="4">
                        <c:v>32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32</c:v>
                      </c:pt>
                      <c:pt idx="8">
                        <c:v>32</c:v>
                      </c:pt>
                      <c:pt idx="9">
                        <c:v>31</c:v>
                      </c:pt>
                      <c:pt idx="10">
                        <c:v>31</c:v>
                      </c:pt>
                      <c:pt idx="11">
                        <c:v>31</c:v>
                      </c:pt>
                      <c:pt idx="12">
                        <c:v>381</c:v>
                      </c:pt>
                      <c:pt idx="13">
                        <c:v>31.75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42E-4791-A790-FB25A43B885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2568'!$C$70</c15:sqref>
                        </c15:formulaRef>
                      </c:ext>
                    </c:extLst>
                    <c:strCache>
                      <c:ptCount val="1"/>
                      <c:pt idx="0">
                        <c:v>ปริมาณก๊าซเรือนกระจก ปี 2568 (kgCO2e)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2568'!$D$70:$Q$70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2516.1448399999999</c:v>
                      </c:pt>
                      <c:pt idx="1">
                        <c:v>2968.9023799999995</c:v>
                      </c:pt>
                      <c:pt idx="2">
                        <c:v>2777.2606599999999</c:v>
                      </c:pt>
                      <c:pt idx="3">
                        <c:v>5444.3085600000004</c:v>
                      </c:pt>
                      <c:pt idx="4">
                        <c:v>2571.7124600000002</c:v>
                      </c:pt>
                      <c:pt idx="5">
                        <c:v>762.82399999999984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17041.152900000001</c:v>
                      </c:pt>
                      <c:pt idx="13">
                        <c:v>1420.0960750000002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42E-4791-A790-FB25A43B8854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2568'!$C$71</c15:sqref>
                        </c15:formulaRef>
                      </c:ext>
                    </c:extLst>
                    <c:strCache>
                      <c:ptCount val="1"/>
                      <c:pt idx="0">
                        <c:v>ปริมาณก๊าซเรือนกระจก ปี 2567 (kgCO2e)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2568'!$D$71:$Q$71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1535.1501100000003</c:v>
                      </c:pt>
                      <c:pt idx="1">
                        <c:v>4682.7235550000005</c:v>
                      </c:pt>
                      <c:pt idx="2">
                        <c:v>741.22862000000009</c:v>
                      </c:pt>
                      <c:pt idx="3">
                        <c:v>2519.3013680000004</c:v>
                      </c:pt>
                      <c:pt idx="4">
                        <c:v>3174.9645320000004</c:v>
                      </c:pt>
                      <c:pt idx="5">
                        <c:v>3102.1587019999997</c:v>
                      </c:pt>
                      <c:pt idx="6">
                        <c:v>5134.367694999999</c:v>
                      </c:pt>
                      <c:pt idx="7">
                        <c:v>4956.7804669999996</c:v>
                      </c:pt>
                      <c:pt idx="8">
                        <c:v>2348.318741</c:v>
                      </c:pt>
                      <c:pt idx="9">
                        <c:v>5878.4026199999998</c:v>
                      </c:pt>
                      <c:pt idx="10">
                        <c:v>3562.2137399999997</c:v>
                      </c:pt>
                      <c:pt idx="11">
                        <c:v>3130.3748400000004</c:v>
                      </c:pt>
                      <c:pt idx="12">
                        <c:v>40765.984989999997</c:v>
                      </c:pt>
                      <c:pt idx="13">
                        <c:v>3397.1654158333331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F42E-4791-A790-FB25A43B8854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2568'!$C$72</c15:sqref>
                        </c15:formulaRef>
                      </c:ext>
                    </c:extLst>
                    <c:strCache>
                      <c:ptCount val="1"/>
                      <c:pt idx="0">
                        <c:v>ผลต่างระหว่างปี 2567 และ 2568 (kgCO2e)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2568'!$D$72:$Q$72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980.99472999999966</c:v>
                      </c:pt>
                      <c:pt idx="1">
                        <c:v>-1713.8211750000009</c:v>
                      </c:pt>
                      <c:pt idx="2">
                        <c:v>2036.0320399999998</c:v>
                      </c:pt>
                      <c:pt idx="3">
                        <c:v>2925.007192</c:v>
                      </c:pt>
                      <c:pt idx="4">
                        <c:v>-603.25207200000023</c:v>
                      </c:pt>
                      <c:pt idx="5">
                        <c:v>-2339.3347020000001</c:v>
                      </c:pt>
                      <c:pt idx="6">
                        <c:v>-5134.367694999999</c:v>
                      </c:pt>
                      <c:pt idx="7">
                        <c:v>-4956.7804669999996</c:v>
                      </c:pt>
                      <c:pt idx="8">
                        <c:v>-2348.318741</c:v>
                      </c:pt>
                      <c:pt idx="9">
                        <c:v>-5878.4026199999998</c:v>
                      </c:pt>
                      <c:pt idx="10">
                        <c:v>-3562.2137399999997</c:v>
                      </c:pt>
                      <c:pt idx="11">
                        <c:v>-3130.3748400000004</c:v>
                      </c:pt>
                      <c:pt idx="12">
                        <c:v>-23724.832089999996</c:v>
                      </c:pt>
                      <c:pt idx="13">
                        <c:v>-1977.0693408333329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F42E-4791-A790-FB25A43B8854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2568'!$C$73</c15:sqref>
                        </c15:formulaRef>
                      </c:ext>
                    </c:extLst>
                    <c:strCache>
                      <c:ptCount val="1"/>
                      <c:pt idx="0">
                        <c:v>% เพิ่มขึ้น / ลดลง (kgCO2e)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2568'!$D$73:$Q$73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63.902202371597362</c:v>
                      </c:pt>
                      <c:pt idx="1">
                        <c:v>-36.598811671683251</c:v>
                      </c:pt>
                      <c:pt idx="2">
                        <c:v>274.68340874371518</c:v>
                      </c:pt>
                      <c:pt idx="3">
                        <c:v>116.10390202431707</c:v>
                      </c:pt>
                      <c:pt idx="4">
                        <c:v>-19.000277512391438</c:v>
                      </c:pt>
                      <c:pt idx="5">
                        <c:v>-75.40989764617143</c:v>
                      </c:pt>
                      <c:pt idx="6">
                        <c:v>-100</c:v>
                      </c:pt>
                      <c:pt idx="7">
                        <c:v>-100</c:v>
                      </c:pt>
                      <c:pt idx="8">
                        <c:v>-100</c:v>
                      </c:pt>
                      <c:pt idx="9">
                        <c:v>-100</c:v>
                      </c:pt>
                      <c:pt idx="10">
                        <c:v>-100</c:v>
                      </c:pt>
                      <c:pt idx="11">
                        <c:v>-100</c:v>
                      </c:pt>
                      <c:pt idx="12">
                        <c:v>-58.197617684988508</c:v>
                      </c:pt>
                      <c:pt idx="13">
                        <c:v>-58.197617684988501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F42E-4791-A790-FB25A43B8854}"/>
                  </c:ext>
                </c:extLst>
              </c15:ser>
            </c15:filteredBarSeries>
          </c:ext>
        </c:extLst>
      </c:barChart>
      <c:catAx>
        <c:axId val="8366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6615968"/>
        <c:crosses val="autoZero"/>
        <c:auto val="1"/>
        <c:lblAlgn val="ctr"/>
        <c:lblOffset val="100"/>
        <c:noMultiLvlLbl val="0"/>
      </c:catAx>
      <c:valAx>
        <c:axId val="8366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661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>
              <a:defRPr/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2568'!$C$74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2568'!$D$74:$P$74</c15:sqref>
                  </c15:fullRef>
                </c:ext>
              </c:extLst>
              <c:f>'สรุปการคำนวณ ปี 2568'!$P$74</c:f>
              <c:numCache>
                <c:formatCode>_-* #,##0.00_-;\-* #,##0.00_-;_-* "-"??_-;_-@_-</c:formatCode>
                <c:ptCount val="1"/>
                <c:pt idx="0">
                  <c:v>549.71460967741939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F-488F-AAB8-75EB19BA2947}"/>
            </c:ext>
          </c:extLst>
        </c:ser>
        <c:ser>
          <c:idx val="1"/>
          <c:order val="1"/>
          <c:tx>
            <c:strRef>
              <c:f>'สรุปการคำนวณ ปี 2568'!$C$75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2568'!$D$75:$P$75</c15:sqref>
                  </c15:fullRef>
                </c:ext>
              </c:extLst>
              <c:f>'สรุปการคำนวณ ปี 2568'!$P$75</c:f>
              <c:numCache>
                <c:formatCode>_-* #,##0.00_-;\-* #,##0.00_-;_-* "-"??_-;_-@_-</c:formatCode>
                <c:ptCount val="1"/>
                <c:pt idx="0">
                  <c:v>1286.6094010987904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F-488F-AAB8-75EB19BA2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089984"/>
        <c:axId val="939097544"/>
      </c:barChart>
      <c:catAx>
        <c:axId val="93908998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39097544"/>
        <c:crosses val="autoZero"/>
        <c:auto val="1"/>
        <c:lblAlgn val="ctr"/>
        <c:lblOffset val="100"/>
        <c:noMultiLvlLbl val="0"/>
      </c:catAx>
      <c:valAx>
        <c:axId val="93909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93908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 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2568'!$C$70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2568'!$D$70:$P$70</c15:sqref>
                  </c15:fullRef>
                </c:ext>
              </c:extLst>
              <c:f>'สรุปการคำนวณ ปี 2568'!$P$70</c:f>
              <c:numCache>
                <c:formatCode>_-* #,##0.00_-;\-* #,##0.00_-;_-* "-"??_-;_-@_-</c:formatCode>
                <c:ptCount val="1"/>
                <c:pt idx="0">
                  <c:v>17041.152900000001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6-4244-8FF5-2A3414DE3435}"/>
            </c:ext>
          </c:extLst>
        </c:ser>
        <c:ser>
          <c:idx val="1"/>
          <c:order val="1"/>
          <c:tx>
            <c:strRef>
              <c:f>'สรุปการคำนวณ ปี 2568'!$C$71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2568'!$D$71:$P$71</c15:sqref>
                  </c15:fullRef>
                </c:ext>
              </c:extLst>
              <c:f>'สรุปการคำนวณ ปี 2568'!$P$71</c:f>
              <c:numCache>
                <c:formatCode>_-* #,##0.00_-;\-* #,##0.00_-;_-* "-"??_-;_-@_-</c:formatCode>
                <c:ptCount val="1"/>
                <c:pt idx="0">
                  <c:v>40765.984989999997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6-4244-8FF5-2A3414DE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091424"/>
        <c:axId val="939101504"/>
      </c:barChart>
      <c:catAx>
        <c:axId val="93909142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39101504"/>
        <c:crosses val="autoZero"/>
        <c:auto val="1"/>
        <c:lblAlgn val="ctr"/>
        <c:lblOffset val="100"/>
        <c:noMultiLvlLbl val="0"/>
      </c:catAx>
      <c:valAx>
        <c:axId val="9391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93909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h-TH" sz="240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ปริมาณการปล่อยก๊าซเรือนกระจำประจำปี 2567</a:t>
            </a:r>
            <a:r>
              <a:rPr lang="th-TH" sz="2400" baseline="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 (เดือนมกราคม ถึง ธันวาคม) (</a:t>
            </a:r>
            <a:r>
              <a:rPr lang="en-US" sz="2400" baseline="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tCO2)</a:t>
            </a:r>
            <a:endParaRPr lang="th-TH" sz="24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endParaRPr>
          </a:p>
        </c:rich>
      </c:tx>
      <c:overlay val="0"/>
      <c:spPr>
        <a:noFill/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C5-4026-8137-C54C6D6267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3C5-4026-8137-C54C6D62672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390-42C6-9031-89C73DD384EA}"/>
              </c:ext>
            </c:extLst>
          </c:dPt>
          <c:dLbls>
            <c:delete val="1"/>
          </c:dLbls>
          <c:cat>
            <c:strRef>
              <c:f>'สรุปการคำนวณ ปีฐาน'!$B$38:$B$41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ปีฐาน'!$C$38:$C$41</c:f>
              <c:numCache>
                <c:formatCode>#,##0.00</c:formatCode>
                <c:ptCount val="4"/>
                <c:pt idx="0">
                  <c:v>3.7534559999999995</c:v>
                </c:pt>
                <c:pt idx="1">
                  <c:v>27.307987310000005</c:v>
                </c:pt>
                <c:pt idx="2">
                  <c:v>9.7045416800000002</c:v>
                </c:pt>
                <c:pt idx="3">
                  <c:v>40.765984990000007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5-4026-8137-C54C6D6267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39949544"/>
        <c:axId val="839947744"/>
        <c:axId val="0"/>
      </c:bar3DChart>
      <c:catAx>
        <c:axId val="8399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9947744"/>
        <c:crosses val="autoZero"/>
        <c:auto val="1"/>
        <c:lblAlgn val="ctr"/>
        <c:lblOffset val="100"/>
        <c:noMultiLvlLbl val="0"/>
      </c:catAx>
      <c:valAx>
        <c:axId val="8399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994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488949</xdr:colOff>
      <xdr:row>29</xdr:row>
      <xdr:rowOff>76200</xdr:rowOff>
    </xdr:from>
    <xdr:to>
      <xdr:col>29</xdr:col>
      <xdr:colOff>615949</xdr:colOff>
      <xdr:row>41</xdr:row>
      <xdr:rowOff>350520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47AA142-10B5-47A6-94C0-3CD808B88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29</xdr:row>
      <xdr:rowOff>76200</xdr:rowOff>
    </xdr:from>
    <xdr:to>
      <xdr:col>19</xdr:col>
      <xdr:colOff>355600</xdr:colOff>
      <xdr:row>41</xdr:row>
      <xdr:rowOff>350520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18F7584-3BCA-4E16-919A-E18E7B9F3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635000</xdr:colOff>
      <xdr:row>77</xdr:row>
      <xdr:rowOff>203200</xdr:rowOff>
    </xdr:from>
    <xdr:to>
      <xdr:col>14</xdr:col>
      <xdr:colOff>153924</xdr:colOff>
      <xdr:row>92</xdr:row>
      <xdr:rowOff>66040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1A99C8-B6F8-4AD9-834A-C0296C029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298449</xdr:colOff>
      <xdr:row>77</xdr:row>
      <xdr:rowOff>203200</xdr:rowOff>
    </xdr:from>
    <xdr:to>
      <xdr:col>29</xdr:col>
      <xdr:colOff>71373</xdr:colOff>
      <xdr:row>92</xdr:row>
      <xdr:rowOff>66040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FD59D6BA-1C9B-44C6-95AA-EEDDD0565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704849</xdr:colOff>
      <xdr:row>62</xdr:row>
      <xdr:rowOff>101600</xdr:rowOff>
    </xdr:from>
    <xdr:to>
      <xdr:col>30</xdr:col>
      <xdr:colOff>332485</xdr:colOff>
      <xdr:row>74</xdr:row>
      <xdr:rowOff>293624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E2CD5494-64C1-43BA-B0E1-2684502DC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704849</xdr:colOff>
      <xdr:row>49</xdr:row>
      <xdr:rowOff>50800</xdr:rowOff>
    </xdr:from>
    <xdr:to>
      <xdr:col>30</xdr:col>
      <xdr:colOff>332485</xdr:colOff>
      <xdr:row>61</xdr:row>
      <xdr:rowOff>242824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F583A993-C54E-4FC7-BD63-7D2BFB59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31</xdr:row>
      <xdr:rowOff>1103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374648</xdr:colOff>
      <xdr:row>26</xdr:row>
      <xdr:rowOff>127000</xdr:rowOff>
    </xdr:from>
    <xdr:to>
      <xdr:col>24</xdr:col>
      <xdr:colOff>203200</xdr:colOff>
      <xdr:row>40</xdr:row>
      <xdr:rowOff>71120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FC1D6C8B-FEC8-CF56-8037-86E3559BB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7762-7ED8-46E1-BE1B-7BB728F78C39}">
  <dimension ref="A1:AU123"/>
  <sheetViews>
    <sheetView tabSelected="1" topLeftCell="A13" zoomScaleNormal="100" zoomScaleSheetLayoutView="25" workbookViewId="0">
      <selection activeCell="O23" sqref="O23"/>
    </sheetView>
  </sheetViews>
  <sheetFormatPr defaultColWidth="9" defaultRowHeight="30" customHeight="1"/>
  <cols>
    <col min="1" max="1" width="12.125" style="151" customWidth="1"/>
    <col min="2" max="2" width="12.125" style="119" customWidth="1"/>
    <col min="3" max="3" width="38.25" style="120" customWidth="1"/>
    <col min="4" max="4" width="13.125" style="120" customWidth="1"/>
    <col min="5" max="5" width="16.75" style="120" customWidth="1"/>
    <col min="6" max="6" width="12.75" style="120" customWidth="1"/>
    <col min="7" max="7" width="12.75" style="123" customWidth="1"/>
    <col min="8" max="10" width="12.75" style="120" customWidth="1"/>
    <col min="11" max="11" width="12.75" style="124" customWidth="1"/>
    <col min="12" max="31" width="12.75" style="120" customWidth="1"/>
    <col min="32" max="32" width="9" style="120"/>
    <col min="33" max="33" width="50.875" style="123" customWidth="1"/>
    <col min="34" max="44" width="14" style="123" customWidth="1"/>
    <col min="45" max="45" width="14" style="120" customWidth="1"/>
    <col min="46" max="47" width="14" style="123" customWidth="1"/>
    <col min="48" max="16384" width="9" style="120"/>
  </cols>
  <sheetData>
    <row r="1" spans="1:31" ht="30" customHeight="1">
      <c r="A1" s="182"/>
      <c r="B1" s="183"/>
      <c r="C1" s="184"/>
      <c r="D1" s="184"/>
      <c r="E1" s="184"/>
      <c r="F1" s="184"/>
      <c r="G1" s="185"/>
      <c r="H1" s="184"/>
      <c r="I1" s="184"/>
      <c r="J1" s="184"/>
      <c r="K1" s="186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 t="s">
        <v>0</v>
      </c>
      <c r="AE1" s="184"/>
    </row>
    <row r="2" spans="1:31" ht="45" customHeight="1">
      <c r="A2" s="245" t="s">
        <v>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7"/>
    </row>
    <row r="3" spans="1:31" s="119" customFormat="1" ht="39.950000000000003" customHeight="1">
      <c r="A3" s="230" t="s">
        <v>2</v>
      </c>
      <c r="B3" s="248" t="s">
        <v>3</v>
      </c>
      <c r="C3" s="249"/>
      <c r="D3" s="230" t="s">
        <v>4</v>
      </c>
      <c r="E3" s="230" t="s">
        <v>5</v>
      </c>
      <c r="F3" s="230" t="s">
        <v>6</v>
      </c>
      <c r="G3" s="254" t="s">
        <v>256</v>
      </c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6"/>
    </row>
    <row r="4" spans="1:31" s="119" customFormat="1" ht="30" customHeight="1">
      <c r="A4" s="230"/>
      <c r="B4" s="250"/>
      <c r="C4" s="251"/>
      <c r="D4" s="230"/>
      <c r="E4" s="230"/>
      <c r="F4" s="230"/>
      <c r="G4" s="224" t="s">
        <v>7</v>
      </c>
      <c r="H4" s="224"/>
      <c r="I4" s="224" t="s">
        <v>8</v>
      </c>
      <c r="J4" s="224"/>
      <c r="K4" s="224" t="s">
        <v>9</v>
      </c>
      <c r="L4" s="224"/>
      <c r="M4" s="224" t="s">
        <v>10</v>
      </c>
      <c r="N4" s="224"/>
      <c r="O4" s="224" t="s">
        <v>11</v>
      </c>
      <c r="P4" s="224"/>
      <c r="Q4" s="224" t="s">
        <v>12</v>
      </c>
      <c r="R4" s="224"/>
      <c r="S4" s="224" t="s">
        <v>13</v>
      </c>
      <c r="T4" s="224"/>
      <c r="U4" s="224" t="s">
        <v>14</v>
      </c>
      <c r="V4" s="224"/>
      <c r="W4" s="224" t="s">
        <v>15</v>
      </c>
      <c r="X4" s="224"/>
      <c r="Y4" s="224" t="s">
        <v>16</v>
      </c>
      <c r="Z4" s="224"/>
      <c r="AA4" s="224" t="s">
        <v>17</v>
      </c>
      <c r="AB4" s="224"/>
      <c r="AC4" s="224" t="s">
        <v>18</v>
      </c>
      <c r="AD4" s="224"/>
      <c r="AE4" s="257" t="s">
        <v>19</v>
      </c>
    </row>
    <row r="5" spans="1:31" s="119" customFormat="1" ht="30" customHeight="1">
      <c r="A5" s="230"/>
      <c r="B5" s="252"/>
      <c r="C5" s="253"/>
      <c r="D5" s="230"/>
      <c r="E5" s="230"/>
      <c r="F5" s="230"/>
      <c r="G5" s="187" t="s">
        <v>20</v>
      </c>
      <c r="H5" s="187" t="s">
        <v>21</v>
      </c>
      <c r="I5" s="187" t="s">
        <v>20</v>
      </c>
      <c r="J5" s="187" t="s">
        <v>21</v>
      </c>
      <c r="K5" s="187" t="s">
        <v>20</v>
      </c>
      <c r="L5" s="187" t="s">
        <v>21</v>
      </c>
      <c r="M5" s="187" t="s">
        <v>20</v>
      </c>
      <c r="N5" s="187" t="s">
        <v>21</v>
      </c>
      <c r="O5" s="187" t="s">
        <v>20</v>
      </c>
      <c r="P5" s="187" t="s">
        <v>21</v>
      </c>
      <c r="Q5" s="187" t="s">
        <v>20</v>
      </c>
      <c r="R5" s="187" t="s">
        <v>21</v>
      </c>
      <c r="S5" s="187" t="s">
        <v>20</v>
      </c>
      <c r="T5" s="187" t="s">
        <v>21</v>
      </c>
      <c r="U5" s="187" t="s">
        <v>20</v>
      </c>
      <c r="V5" s="187" t="s">
        <v>21</v>
      </c>
      <c r="W5" s="187" t="s">
        <v>20</v>
      </c>
      <c r="X5" s="187" t="s">
        <v>21</v>
      </c>
      <c r="Y5" s="187" t="s">
        <v>20</v>
      </c>
      <c r="Z5" s="187" t="s">
        <v>21</v>
      </c>
      <c r="AA5" s="187" t="s">
        <v>20</v>
      </c>
      <c r="AB5" s="187" t="s">
        <v>21</v>
      </c>
      <c r="AC5" s="187" t="s">
        <v>20</v>
      </c>
      <c r="AD5" s="187" t="s">
        <v>21</v>
      </c>
      <c r="AE5" s="258"/>
    </row>
    <row r="6" spans="1:31" ht="30" customHeight="1">
      <c r="A6" s="230" t="s">
        <v>22</v>
      </c>
      <c r="B6" s="226" t="s">
        <v>23</v>
      </c>
      <c r="C6" s="227"/>
      <c r="D6" s="188"/>
      <c r="E6" s="188"/>
      <c r="F6" s="188"/>
      <c r="G6" s="188"/>
      <c r="H6" s="189"/>
      <c r="I6" s="190"/>
      <c r="J6" s="190"/>
      <c r="K6" s="191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</row>
    <row r="7" spans="1:31" ht="30" customHeight="1">
      <c r="A7" s="230"/>
      <c r="B7" s="226" t="s">
        <v>24</v>
      </c>
      <c r="C7" s="227"/>
      <c r="D7" s="188"/>
      <c r="E7" s="188"/>
      <c r="F7" s="188"/>
      <c r="G7" s="188"/>
      <c r="H7" s="189"/>
      <c r="I7" s="190"/>
      <c r="J7" s="190"/>
      <c r="K7" s="191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</row>
    <row r="8" spans="1:31" ht="30" customHeight="1">
      <c r="A8" s="230"/>
      <c r="B8" s="228" t="s">
        <v>25</v>
      </c>
      <c r="C8" s="229"/>
      <c r="D8" s="192">
        <v>2.7078000000000002</v>
      </c>
      <c r="E8" s="193" t="s">
        <v>26</v>
      </c>
      <c r="F8" s="188" t="s">
        <v>27</v>
      </c>
      <c r="G8" s="194">
        <v>0</v>
      </c>
      <c r="H8" s="195">
        <f>G8*D8</f>
        <v>0</v>
      </c>
      <c r="I8" s="194">
        <v>0</v>
      </c>
      <c r="J8" s="195">
        <f>I8*D8</f>
        <v>0</v>
      </c>
      <c r="K8" s="194">
        <v>0</v>
      </c>
      <c r="L8" s="195">
        <f>K8*D8</f>
        <v>0</v>
      </c>
      <c r="M8" s="194">
        <v>0</v>
      </c>
      <c r="N8" s="195">
        <f>M8*D8</f>
        <v>0</v>
      </c>
      <c r="O8" s="194">
        <v>0</v>
      </c>
      <c r="P8" s="195">
        <f>O8*D8</f>
        <v>0</v>
      </c>
      <c r="Q8" s="194">
        <v>0</v>
      </c>
      <c r="R8" s="195">
        <f>Q8*D8</f>
        <v>0</v>
      </c>
      <c r="S8" s="194"/>
      <c r="T8" s="195">
        <f>S8*D8</f>
        <v>0</v>
      </c>
      <c r="U8" s="194"/>
      <c r="V8" s="195">
        <f>U8*D8</f>
        <v>0</v>
      </c>
      <c r="W8" s="194"/>
      <c r="X8" s="195">
        <f>W8*D8</f>
        <v>0</v>
      </c>
      <c r="Y8" s="194"/>
      <c r="Z8" s="195">
        <f>Y8*D8</f>
        <v>0</v>
      </c>
      <c r="AA8" s="194"/>
      <c r="AB8" s="195">
        <f>AA8*D8</f>
        <v>0</v>
      </c>
      <c r="AC8" s="194"/>
      <c r="AD8" s="195">
        <f>AC8*D8</f>
        <v>0</v>
      </c>
      <c r="AE8" s="206">
        <f>H8+J8+L8+N8+P8+R8+T8+V8+X8+Z8+AB8+AD8</f>
        <v>0</v>
      </c>
    </row>
    <row r="9" spans="1:31" ht="30" customHeight="1">
      <c r="A9" s="230"/>
      <c r="B9" s="228" t="s">
        <v>28</v>
      </c>
      <c r="C9" s="229"/>
      <c r="D9" s="192">
        <v>2.7078000000000002</v>
      </c>
      <c r="E9" s="188" t="s">
        <v>26</v>
      </c>
      <c r="F9" s="188" t="s">
        <v>27</v>
      </c>
      <c r="G9" s="194">
        <v>0</v>
      </c>
      <c r="H9" s="195">
        <f>G9*D9</f>
        <v>0</v>
      </c>
      <c r="I9" s="194">
        <v>0</v>
      </c>
      <c r="J9" s="195">
        <f>I9*D9</f>
        <v>0</v>
      </c>
      <c r="K9" s="194">
        <v>0</v>
      </c>
      <c r="L9" s="195">
        <f>K9*D9</f>
        <v>0</v>
      </c>
      <c r="M9" s="194">
        <v>0</v>
      </c>
      <c r="N9" s="195">
        <f>M9*D9</f>
        <v>0</v>
      </c>
      <c r="O9" s="194">
        <v>0</v>
      </c>
      <c r="P9" s="195">
        <f>O9*D9</f>
        <v>0</v>
      </c>
      <c r="Q9" s="194">
        <v>0</v>
      </c>
      <c r="R9" s="195">
        <f>Q9*D9</f>
        <v>0</v>
      </c>
      <c r="S9" s="194"/>
      <c r="T9" s="195">
        <f>S9*D9</f>
        <v>0</v>
      </c>
      <c r="U9" s="194"/>
      <c r="V9" s="195">
        <f>U9*D9</f>
        <v>0</v>
      </c>
      <c r="W9" s="194"/>
      <c r="X9" s="195">
        <f>W9*D9</f>
        <v>0</v>
      </c>
      <c r="Y9" s="194"/>
      <c r="Z9" s="195">
        <f>Y9*D9</f>
        <v>0</v>
      </c>
      <c r="AA9" s="194"/>
      <c r="AB9" s="195">
        <f>AA9*D9</f>
        <v>0</v>
      </c>
      <c r="AC9" s="194"/>
      <c r="AD9" s="195">
        <f>AC9*D9</f>
        <v>0</v>
      </c>
      <c r="AE9" s="206">
        <f t="shared" ref="AE9:AE25" si="0">H9+J9+L9+N9+P9+R9+T9+V9+X9+Z9+AB9+AD9</f>
        <v>0</v>
      </c>
    </row>
    <row r="10" spans="1:31" ht="30" customHeight="1">
      <c r="A10" s="230"/>
      <c r="B10" s="226" t="s">
        <v>29</v>
      </c>
      <c r="C10" s="227"/>
      <c r="D10" s="192"/>
      <c r="E10" s="188"/>
      <c r="F10" s="188"/>
      <c r="G10" s="189"/>
      <c r="H10" s="195"/>
      <c r="I10" s="189"/>
      <c r="J10" s="195"/>
      <c r="K10" s="189"/>
      <c r="L10" s="195"/>
      <c r="M10" s="189"/>
      <c r="N10" s="195"/>
      <c r="O10" s="189"/>
      <c r="P10" s="195"/>
      <c r="Q10" s="194"/>
      <c r="R10" s="195"/>
      <c r="S10" s="194"/>
      <c r="T10" s="195"/>
      <c r="U10" s="194"/>
      <c r="V10" s="195"/>
      <c r="W10" s="194"/>
      <c r="X10" s="195"/>
      <c r="Y10" s="194"/>
      <c r="Z10" s="195"/>
      <c r="AA10" s="194"/>
      <c r="AB10" s="195"/>
      <c r="AC10" s="194"/>
      <c r="AD10" s="195"/>
      <c r="AE10" s="206"/>
    </row>
    <row r="11" spans="1:31" ht="30" customHeight="1">
      <c r="A11" s="230"/>
      <c r="B11" s="226" t="s">
        <v>30</v>
      </c>
      <c r="C11" s="227"/>
      <c r="D11" s="192"/>
      <c r="E11" s="188"/>
      <c r="F11" s="188"/>
      <c r="G11" s="189"/>
      <c r="H11" s="195"/>
      <c r="I11" s="189"/>
      <c r="J11" s="195"/>
      <c r="K11" s="189"/>
      <c r="L11" s="195"/>
      <c r="M11" s="189"/>
      <c r="N11" s="195"/>
      <c r="O11" s="189"/>
      <c r="P11" s="195"/>
      <c r="Q11" s="194"/>
      <c r="R11" s="195"/>
      <c r="S11" s="194"/>
      <c r="T11" s="195"/>
      <c r="U11" s="194"/>
      <c r="V11" s="195"/>
      <c r="W11" s="194"/>
      <c r="X11" s="195"/>
      <c r="Y11" s="194"/>
      <c r="Z11" s="195"/>
      <c r="AA11" s="194"/>
      <c r="AB11" s="195"/>
      <c r="AC11" s="194"/>
      <c r="AD11" s="195"/>
      <c r="AE11" s="206"/>
    </row>
    <row r="12" spans="1:31" ht="30" customHeight="1">
      <c r="A12" s="230"/>
      <c r="B12" s="228" t="s">
        <v>31</v>
      </c>
      <c r="C12" s="229"/>
      <c r="D12" s="192">
        <v>2.7406000000000001</v>
      </c>
      <c r="E12" s="188" t="s">
        <v>26</v>
      </c>
      <c r="F12" s="188" t="s">
        <v>27</v>
      </c>
      <c r="G12" s="201">
        <v>0</v>
      </c>
      <c r="H12" s="195">
        <v>0</v>
      </c>
      <c r="I12" s="202">
        <v>0</v>
      </c>
      <c r="J12" s="195">
        <v>0</v>
      </c>
      <c r="K12" s="174">
        <v>0</v>
      </c>
      <c r="L12" s="195">
        <v>0</v>
      </c>
      <c r="M12" s="203">
        <v>0</v>
      </c>
      <c r="N12" s="195">
        <v>0</v>
      </c>
      <c r="O12" s="203">
        <v>0</v>
      </c>
      <c r="P12" s="195">
        <v>0</v>
      </c>
      <c r="Q12" s="194">
        <v>0</v>
      </c>
      <c r="R12" s="195">
        <v>0</v>
      </c>
      <c r="S12" s="194"/>
      <c r="T12" s="195">
        <f t="shared" ref="T12:T25" si="1">S12*D12</f>
        <v>0</v>
      </c>
      <c r="U12" s="194"/>
      <c r="V12" s="195">
        <f t="shared" ref="V12:V25" si="2">U12*D12</f>
        <v>0</v>
      </c>
      <c r="W12" s="194"/>
      <c r="X12" s="195">
        <f t="shared" ref="X12:X25" si="3">W12*D12</f>
        <v>0</v>
      </c>
      <c r="Y12" s="194"/>
      <c r="Z12" s="195">
        <f t="shared" ref="Z12:Z25" si="4">Y12*D12</f>
        <v>0</v>
      </c>
      <c r="AA12" s="194"/>
      <c r="AB12" s="195">
        <f t="shared" ref="AB12:AB25" si="5">AA12*D12</f>
        <v>0</v>
      </c>
      <c r="AC12" s="194"/>
      <c r="AD12" s="195">
        <f t="shared" ref="AD12:AD25" si="6">AC12*D12</f>
        <v>0</v>
      </c>
      <c r="AE12" s="206">
        <f t="shared" si="0"/>
        <v>0</v>
      </c>
    </row>
    <row r="13" spans="1:31" ht="30" customHeight="1">
      <c r="A13" s="230"/>
      <c r="B13" s="228" t="s">
        <v>32</v>
      </c>
      <c r="C13" s="229"/>
      <c r="D13" s="192">
        <v>2.2393999999999998</v>
      </c>
      <c r="E13" s="188" t="s">
        <v>26</v>
      </c>
      <c r="F13" s="188" t="s">
        <v>27</v>
      </c>
      <c r="G13" s="203">
        <v>0</v>
      </c>
      <c r="H13" s="195">
        <f t="shared" ref="H13:H25" si="7">G13*D13</f>
        <v>0</v>
      </c>
      <c r="I13" s="203">
        <v>0</v>
      </c>
      <c r="J13" s="195">
        <v>0</v>
      </c>
      <c r="K13" s="203">
        <v>0</v>
      </c>
      <c r="L13" s="195">
        <f t="shared" ref="L13:L25" si="8">K13*D13</f>
        <v>0</v>
      </c>
      <c r="M13" s="174">
        <v>0</v>
      </c>
      <c r="N13" s="195">
        <f t="shared" ref="N13:N25" si="9">M13*D13</f>
        <v>0</v>
      </c>
      <c r="O13" s="174">
        <v>0</v>
      </c>
      <c r="P13" s="195">
        <f t="shared" ref="P13:P25" si="10">O13*D13</f>
        <v>0</v>
      </c>
      <c r="Q13" s="194">
        <v>0</v>
      </c>
      <c r="R13" s="195">
        <f t="shared" ref="R13:R25" si="11">Q13*D13</f>
        <v>0</v>
      </c>
      <c r="S13" s="194"/>
      <c r="T13" s="195">
        <f t="shared" si="1"/>
        <v>0</v>
      </c>
      <c r="U13" s="194"/>
      <c r="V13" s="195">
        <f t="shared" si="2"/>
        <v>0</v>
      </c>
      <c r="W13" s="194"/>
      <c r="X13" s="195">
        <f t="shared" si="3"/>
        <v>0</v>
      </c>
      <c r="Y13" s="194"/>
      <c r="Z13" s="195">
        <f t="shared" si="4"/>
        <v>0</v>
      </c>
      <c r="AA13" s="194"/>
      <c r="AB13" s="195">
        <f t="shared" si="5"/>
        <v>0</v>
      </c>
      <c r="AC13" s="194"/>
      <c r="AD13" s="195">
        <f t="shared" si="6"/>
        <v>0</v>
      </c>
      <c r="AE13" s="206">
        <f t="shared" si="0"/>
        <v>0</v>
      </c>
    </row>
    <row r="14" spans="1:31" ht="30" customHeight="1">
      <c r="A14" s="230"/>
      <c r="B14" s="228" t="s">
        <v>33</v>
      </c>
      <c r="C14" s="229"/>
      <c r="D14" s="192">
        <v>2.2393999999999998</v>
      </c>
      <c r="E14" s="188" t="s">
        <v>26</v>
      </c>
      <c r="F14" s="188" t="s">
        <v>27</v>
      </c>
      <c r="G14" s="174">
        <v>0</v>
      </c>
      <c r="H14" s="195">
        <f t="shared" si="7"/>
        <v>0</v>
      </c>
      <c r="I14" s="174">
        <v>0</v>
      </c>
      <c r="J14" s="195">
        <f t="shared" ref="J14:J25" si="12">I14*D14</f>
        <v>0</v>
      </c>
      <c r="K14" s="174">
        <v>0</v>
      </c>
      <c r="L14" s="195">
        <f t="shared" si="8"/>
        <v>0</v>
      </c>
      <c r="M14" s="174">
        <v>0</v>
      </c>
      <c r="N14" s="195">
        <f t="shared" si="9"/>
        <v>0</v>
      </c>
      <c r="O14" s="174">
        <v>0</v>
      </c>
      <c r="P14" s="195">
        <f t="shared" si="10"/>
        <v>0</v>
      </c>
      <c r="Q14" s="194">
        <v>0</v>
      </c>
      <c r="R14" s="195">
        <f t="shared" si="11"/>
        <v>0</v>
      </c>
      <c r="S14" s="194"/>
      <c r="T14" s="195">
        <f t="shared" si="1"/>
        <v>0</v>
      </c>
      <c r="U14" s="194"/>
      <c r="V14" s="195">
        <f t="shared" si="2"/>
        <v>0</v>
      </c>
      <c r="W14" s="194"/>
      <c r="X14" s="195">
        <f t="shared" si="3"/>
        <v>0</v>
      </c>
      <c r="Y14" s="194"/>
      <c r="Z14" s="195">
        <f t="shared" si="4"/>
        <v>0</v>
      </c>
      <c r="AA14" s="194"/>
      <c r="AB14" s="195">
        <f t="shared" si="5"/>
        <v>0</v>
      </c>
      <c r="AC14" s="194"/>
      <c r="AD14" s="195">
        <f t="shared" si="6"/>
        <v>0</v>
      </c>
      <c r="AE14" s="206">
        <f t="shared" si="0"/>
        <v>0</v>
      </c>
    </row>
    <row r="15" spans="1:31" ht="30" customHeight="1">
      <c r="A15" s="230"/>
      <c r="B15" s="226" t="s">
        <v>34</v>
      </c>
      <c r="C15" s="227"/>
      <c r="D15" s="192">
        <v>1</v>
      </c>
      <c r="E15" s="188" t="s">
        <v>35</v>
      </c>
      <c r="F15" s="188" t="s">
        <v>36</v>
      </c>
      <c r="G15" s="174">
        <v>0</v>
      </c>
      <c r="H15" s="195">
        <f t="shared" si="7"/>
        <v>0</v>
      </c>
      <c r="I15" s="174">
        <v>0</v>
      </c>
      <c r="J15" s="195">
        <f t="shared" si="12"/>
        <v>0</v>
      </c>
      <c r="K15" s="174">
        <v>0</v>
      </c>
      <c r="L15" s="195">
        <f t="shared" si="8"/>
        <v>0</v>
      </c>
      <c r="M15" s="174">
        <v>0</v>
      </c>
      <c r="N15" s="195">
        <f t="shared" si="9"/>
        <v>0</v>
      </c>
      <c r="O15" s="174">
        <v>0</v>
      </c>
      <c r="P15" s="195">
        <f t="shared" si="10"/>
        <v>0</v>
      </c>
      <c r="Q15" s="194">
        <v>0</v>
      </c>
      <c r="R15" s="195">
        <f t="shared" si="11"/>
        <v>0</v>
      </c>
      <c r="S15" s="194"/>
      <c r="T15" s="195">
        <f t="shared" si="1"/>
        <v>0</v>
      </c>
      <c r="U15" s="194"/>
      <c r="V15" s="195">
        <f t="shared" si="2"/>
        <v>0</v>
      </c>
      <c r="W15" s="194"/>
      <c r="X15" s="195">
        <f t="shared" si="3"/>
        <v>0</v>
      </c>
      <c r="Y15" s="194"/>
      <c r="Z15" s="195">
        <f t="shared" si="4"/>
        <v>0</v>
      </c>
      <c r="AA15" s="194"/>
      <c r="AB15" s="195">
        <f t="shared" si="5"/>
        <v>0</v>
      </c>
      <c r="AC15" s="194"/>
      <c r="AD15" s="195">
        <f t="shared" si="6"/>
        <v>0</v>
      </c>
      <c r="AE15" s="206">
        <f t="shared" si="0"/>
        <v>0</v>
      </c>
    </row>
    <row r="16" spans="1:31" ht="30" customHeight="1">
      <c r="A16" s="230"/>
      <c r="B16" s="231" t="s">
        <v>37</v>
      </c>
      <c r="C16" s="232"/>
      <c r="D16" s="196">
        <v>28</v>
      </c>
      <c r="E16" s="188" t="s">
        <v>38</v>
      </c>
      <c r="F16" s="188" t="s">
        <v>39</v>
      </c>
      <c r="G16" s="222">
        <f>'CH4จากseptic tank'!$C$4</f>
        <v>8.1840000000000011</v>
      </c>
      <c r="H16" s="195">
        <f t="shared" si="7"/>
        <v>229.15200000000004</v>
      </c>
      <c r="I16" s="180">
        <f>'CH4จากseptic tank'!$D$4</f>
        <v>7.0680000000000005</v>
      </c>
      <c r="J16" s="195">
        <f t="shared" si="12"/>
        <v>197.90400000000002</v>
      </c>
      <c r="K16" s="180">
        <f>'CH4จากseptic tank'!$E$4</f>
        <v>7.8120000000000003</v>
      </c>
      <c r="L16" s="195">
        <f t="shared" si="8"/>
        <v>218.73600000000002</v>
      </c>
      <c r="M16" s="180">
        <f>'CH4จากseptic tank'!$F$4</f>
        <v>6.6959999999999997</v>
      </c>
      <c r="N16" s="195">
        <f t="shared" si="9"/>
        <v>187.488</v>
      </c>
      <c r="O16" s="180">
        <f>'CH4จากseptic tank'!$G$4</f>
        <v>7.0680000000000005</v>
      </c>
      <c r="P16" s="195">
        <f t="shared" si="10"/>
        <v>197.90400000000002</v>
      </c>
      <c r="Q16" s="207">
        <f>'CH4จากseptic tank'!$H$4</f>
        <v>7.0680000000000005</v>
      </c>
      <c r="R16" s="195">
        <f t="shared" si="11"/>
        <v>197.90400000000002</v>
      </c>
      <c r="S16" s="207">
        <f>'CH4จากseptic tank'!$I$4</f>
        <v>0</v>
      </c>
      <c r="T16" s="195">
        <f t="shared" si="1"/>
        <v>0</v>
      </c>
      <c r="U16" s="207">
        <f>'CH4จากseptic tank'!$J$4</f>
        <v>0</v>
      </c>
      <c r="V16" s="195">
        <f t="shared" si="2"/>
        <v>0</v>
      </c>
      <c r="W16" s="207">
        <f>'CH4จากseptic tank'!$K$4</f>
        <v>0</v>
      </c>
      <c r="X16" s="195">
        <f t="shared" si="3"/>
        <v>0</v>
      </c>
      <c r="Y16" s="207">
        <f>'CH4จากseptic tank'!$L$4</f>
        <v>0</v>
      </c>
      <c r="Z16" s="195">
        <f t="shared" si="4"/>
        <v>0</v>
      </c>
      <c r="AA16" s="207">
        <f>'CH4จากseptic tank'!$M$4</f>
        <v>0</v>
      </c>
      <c r="AB16" s="195">
        <f t="shared" si="5"/>
        <v>0</v>
      </c>
      <c r="AC16" s="207">
        <f>'CH4จากseptic tank'!$N$4</f>
        <v>0</v>
      </c>
      <c r="AD16" s="195">
        <f t="shared" si="6"/>
        <v>0</v>
      </c>
      <c r="AE16" s="206">
        <f t="shared" si="0"/>
        <v>1229.088</v>
      </c>
    </row>
    <row r="17" spans="1:47" ht="30" customHeight="1">
      <c r="A17" s="230"/>
      <c r="B17" s="233" t="s">
        <v>40</v>
      </c>
      <c r="C17" s="234"/>
      <c r="D17" s="192">
        <v>28</v>
      </c>
      <c r="E17" s="188" t="s">
        <v>38</v>
      </c>
      <c r="F17" s="188" t="s">
        <v>39</v>
      </c>
      <c r="G17" s="197">
        <f>'CH4จากบ่อบำบัดไม่เติมอากาศ '!$B$13</f>
        <v>3.7632000000000003</v>
      </c>
      <c r="H17" s="195">
        <f t="shared" si="7"/>
        <v>105.36960000000001</v>
      </c>
      <c r="I17" s="181">
        <f>'CH4จากบ่อบำบัดไม่เติมอากาศ '!$C$13</f>
        <v>3.2063999999999999</v>
      </c>
      <c r="J17" s="195">
        <f t="shared" si="12"/>
        <v>89.779200000000003</v>
      </c>
      <c r="K17" s="181">
        <f>'CH4จากบ่อบำบัดไม่เติมอากาศ '!$D$13</f>
        <v>2.6064000000000003</v>
      </c>
      <c r="L17" s="195">
        <f t="shared" si="8"/>
        <v>72.979200000000006</v>
      </c>
      <c r="M17" s="181">
        <f>'CH4จากบ่อบำบัดไม่เติมอากาศ '!$E$13</f>
        <v>2.3376000000000006</v>
      </c>
      <c r="N17" s="195">
        <f t="shared" si="9"/>
        <v>65.452800000000011</v>
      </c>
      <c r="O17" s="181">
        <f>'CH4จากบ่อบำบัดไม่เติมอากาศ '!$F$13</f>
        <v>2.7888000000000002</v>
      </c>
      <c r="P17" s="195">
        <f t="shared" si="10"/>
        <v>78.086399999999998</v>
      </c>
      <c r="Q17" s="207">
        <f>'CH4จากบ่อบำบัดไม่เติมอากาศ '!$G$13</f>
        <v>0</v>
      </c>
      <c r="R17" s="195">
        <f t="shared" si="11"/>
        <v>0</v>
      </c>
      <c r="S17" s="207">
        <f>'CH4จากบ่อบำบัดไม่เติมอากาศ '!$H$13</f>
        <v>0</v>
      </c>
      <c r="T17" s="195">
        <f t="shared" si="1"/>
        <v>0</v>
      </c>
      <c r="U17" s="207">
        <f>'CH4จากบ่อบำบัดไม่เติมอากาศ '!$I$13</f>
        <v>0</v>
      </c>
      <c r="V17" s="195">
        <f t="shared" si="2"/>
        <v>0</v>
      </c>
      <c r="W17" s="207">
        <f>'CH4จากบ่อบำบัดไม่เติมอากาศ '!$J$13</f>
        <v>0</v>
      </c>
      <c r="X17" s="195">
        <f t="shared" si="3"/>
        <v>0</v>
      </c>
      <c r="Y17" s="207">
        <f>'CH4จากบ่อบำบัดไม่เติมอากาศ '!$K$13</f>
        <v>0</v>
      </c>
      <c r="Z17" s="195">
        <f t="shared" si="4"/>
        <v>0</v>
      </c>
      <c r="AA17" s="207">
        <f>'CH4จากบ่อบำบัดไม่เติมอากาศ '!$L$13</f>
        <v>0</v>
      </c>
      <c r="AB17" s="195">
        <f t="shared" si="5"/>
        <v>0</v>
      </c>
      <c r="AC17" s="207">
        <f>'CH4จากบ่อบำบัดไม่เติมอากาศ '!$M$13</f>
        <v>0</v>
      </c>
      <c r="AD17" s="195">
        <f t="shared" si="6"/>
        <v>0</v>
      </c>
      <c r="AE17" s="206">
        <f t="shared" si="0"/>
        <v>411.66719999999998</v>
      </c>
    </row>
    <row r="18" spans="1:47" ht="30" customHeight="1">
      <c r="A18" s="230"/>
      <c r="B18" s="226" t="s">
        <v>41</v>
      </c>
      <c r="C18" s="227"/>
      <c r="D18" s="192">
        <v>1760</v>
      </c>
      <c r="E18" s="188" t="s">
        <v>42</v>
      </c>
      <c r="F18" s="188" t="s">
        <v>43</v>
      </c>
      <c r="G18" s="197"/>
      <c r="H18" s="195"/>
      <c r="I18" s="197"/>
      <c r="J18" s="195"/>
      <c r="K18" s="181"/>
      <c r="L18" s="195"/>
      <c r="M18" s="181"/>
      <c r="N18" s="195"/>
      <c r="O18" s="181"/>
      <c r="P18" s="195"/>
      <c r="Q18" s="207"/>
      <c r="R18" s="195"/>
      <c r="S18" s="207"/>
      <c r="T18" s="195"/>
      <c r="U18" s="207"/>
      <c r="V18" s="195"/>
      <c r="W18" s="207"/>
      <c r="X18" s="195"/>
      <c r="Y18" s="207"/>
      <c r="Z18" s="195"/>
      <c r="AA18" s="207"/>
      <c r="AB18" s="195"/>
      <c r="AC18" s="207"/>
      <c r="AD18" s="195"/>
      <c r="AE18" s="206"/>
    </row>
    <row r="19" spans="1:47" ht="30" customHeight="1">
      <c r="A19" s="230"/>
      <c r="B19" s="226" t="s">
        <v>44</v>
      </c>
      <c r="C19" s="227"/>
      <c r="D19" s="192">
        <v>677</v>
      </c>
      <c r="E19" s="188" t="s">
        <v>45</v>
      </c>
      <c r="F19" s="198" t="s">
        <v>46</v>
      </c>
      <c r="G19" s="194">
        <v>0</v>
      </c>
      <c r="H19" s="195">
        <f t="shared" si="7"/>
        <v>0</v>
      </c>
      <c r="I19" s="194">
        <v>0</v>
      </c>
      <c r="J19" s="195">
        <f t="shared" si="12"/>
        <v>0</v>
      </c>
      <c r="K19" s="174">
        <v>0</v>
      </c>
      <c r="L19" s="195">
        <f t="shared" si="8"/>
        <v>0</v>
      </c>
      <c r="M19" s="174">
        <v>0</v>
      </c>
      <c r="N19" s="195">
        <f t="shared" si="9"/>
        <v>0</v>
      </c>
      <c r="O19" s="174">
        <v>0</v>
      </c>
      <c r="P19" s="195">
        <f t="shared" si="10"/>
        <v>0</v>
      </c>
      <c r="Q19" s="194">
        <v>0</v>
      </c>
      <c r="R19" s="195">
        <f t="shared" si="11"/>
        <v>0</v>
      </c>
      <c r="S19" s="194"/>
      <c r="T19" s="195">
        <f t="shared" si="1"/>
        <v>0</v>
      </c>
      <c r="U19" s="194"/>
      <c r="V19" s="195">
        <f t="shared" si="2"/>
        <v>0</v>
      </c>
      <c r="W19" s="194"/>
      <c r="X19" s="195">
        <f t="shared" si="3"/>
        <v>0</v>
      </c>
      <c r="Y19" s="194"/>
      <c r="Z19" s="195">
        <f t="shared" si="4"/>
        <v>0</v>
      </c>
      <c r="AA19" s="194"/>
      <c r="AB19" s="195">
        <f t="shared" si="5"/>
        <v>0</v>
      </c>
      <c r="AC19" s="194"/>
      <c r="AD19" s="195">
        <f t="shared" si="6"/>
        <v>0</v>
      </c>
      <c r="AE19" s="206">
        <f t="shared" si="0"/>
        <v>0</v>
      </c>
    </row>
    <row r="20" spans="1:47" ht="65.099999999999994" customHeight="1">
      <c r="A20" s="187" t="s">
        <v>47</v>
      </c>
      <c r="B20" s="228" t="s">
        <v>48</v>
      </c>
      <c r="C20" s="229"/>
      <c r="D20" s="192">
        <v>0.49990000000000001</v>
      </c>
      <c r="E20" s="188" t="s">
        <v>49</v>
      </c>
      <c r="F20" s="188" t="s">
        <v>50</v>
      </c>
      <c r="G20" s="219">
        <v>2629</v>
      </c>
      <c r="H20" s="195">
        <f t="shared" si="7"/>
        <v>1314.2371000000001</v>
      </c>
      <c r="I20" s="220">
        <v>3469</v>
      </c>
      <c r="J20" s="195">
        <f t="shared" si="12"/>
        <v>1734.1531</v>
      </c>
      <c r="K20" s="219">
        <v>2470</v>
      </c>
      <c r="L20" s="195">
        <f t="shared" si="8"/>
        <v>1234.7529999999999</v>
      </c>
      <c r="M20" s="220">
        <v>6878</v>
      </c>
      <c r="N20" s="195">
        <f t="shared" si="9"/>
        <v>3438.3122000000003</v>
      </c>
      <c r="O20" s="173">
        <v>3117</v>
      </c>
      <c r="P20" s="195">
        <f t="shared" si="10"/>
        <v>1558.1883</v>
      </c>
      <c r="Q20" s="194">
        <v>0</v>
      </c>
      <c r="R20" s="195">
        <f t="shared" si="11"/>
        <v>0</v>
      </c>
      <c r="S20" s="194">
        <v>0</v>
      </c>
      <c r="T20" s="195">
        <f t="shared" si="1"/>
        <v>0</v>
      </c>
      <c r="U20" s="194">
        <v>0</v>
      </c>
      <c r="V20" s="195">
        <f t="shared" si="2"/>
        <v>0</v>
      </c>
      <c r="W20" s="194">
        <v>0</v>
      </c>
      <c r="X20" s="195">
        <f t="shared" si="3"/>
        <v>0</v>
      </c>
      <c r="Y20" s="194">
        <v>0</v>
      </c>
      <c r="Z20" s="195">
        <f t="shared" si="4"/>
        <v>0</v>
      </c>
      <c r="AA20" s="194">
        <v>0</v>
      </c>
      <c r="AB20" s="195">
        <f t="shared" si="5"/>
        <v>0</v>
      </c>
      <c r="AC20" s="194">
        <v>0</v>
      </c>
      <c r="AD20" s="195">
        <f t="shared" si="6"/>
        <v>0</v>
      </c>
      <c r="AE20" s="206">
        <f t="shared" si="0"/>
        <v>9279.6437000000005</v>
      </c>
    </row>
    <row r="21" spans="1:47" ht="30" customHeight="1">
      <c r="A21" s="230" t="s">
        <v>51</v>
      </c>
      <c r="B21" s="228" t="s">
        <v>52</v>
      </c>
      <c r="C21" s="229"/>
      <c r="D21" s="192">
        <v>2.1019999999999999</v>
      </c>
      <c r="E21" s="188" t="s">
        <v>53</v>
      </c>
      <c r="F21" s="188" t="s">
        <v>36</v>
      </c>
      <c r="G21" s="203">
        <f>0*2.5+3*2.19</f>
        <v>6.57</v>
      </c>
      <c r="H21" s="195">
        <f t="shared" si="7"/>
        <v>13.810140000000001</v>
      </c>
      <c r="I21" s="203">
        <f>0*2.5+16*2.19</f>
        <v>35.04</v>
      </c>
      <c r="J21" s="195">
        <f t="shared" si="12"/>
        <v>73.654079999999993</v>
      </c>
      <c r="K21" s="203">
        <f>12*2.5+17*2.19</f>
        <v>67.22999999999999</v>
      </c>
      <c r="L21" s="195">
        <f t="shared" si="8"/>
        <v>141.31745999999998</v>
      </c>
      <c r="M21" s="203">
        <f>7*2.5+2*2.19</f>
        <v>21.88</v>
      </c>
      <c r="N21" s="195">
        <f t="shared" si="9"/>
        <v>45.991759999999992</v>
      </c>
      <c r="O21" s="203">
        <f>10*2.5+2*2.19</f>
        <v>29.38</v>
      </c>
      <c r="P21" s="195">
        <f t="shared" si="10"/>
        <v>61.756759999999993</v>
      </c>
      <c r="Q21" s="194">
        <v>0</v>
      </c>
      <c r="R21" s="195">
        <f t="shared" si="11"/>
        <v>0</v>
      </c>
      <c r="S21" s="194"/>
      <c r="T21" s="195">
        <f t="shared" si="1"/>
        <v>0</v>
      </c>
      <c r="U21" s="194"/>
      <c r="V21" s="195">
        <f t="shared" si="2"/>
        <v>0</v>
      </c>
      <c r="W21" s="194"/>
      <c r="X21" s="195">
        <f t="shared" si="3"/>
        <v>0</v>
      </c>
      <c r="Y21" s="194"/>
      <c r="Z21" s="195">
        <f t="shared" si="4"/>
        <v>0</v>
      </c>
      <c r="AA21" s="194"/>
      <c r="AB21" s="195">
        <f t="shared" si="5"/>
        <v>0</v>
      </c>
      <c r="AC21" s="194"/>
      <c r="AD21" s="195">
        <f t="shared" si="6"/>
        <v>0</v>
      </c>
      <c r="AE21" s="206">
        <f t="shared" si="0"/>
        <v>336.53019999999998</v>
      </c>
    </row>
    <row r="22" spans="1:47" ht="30" customHeight="1">
      <c r="A22" s="230"/>
      <c r="B22" s="228" t="s">
        <v>54</v>
      </c>
      <c r="C22" s="229"/>
      <c r="D22" s="192">
        <v>0.79479999999999995</v>
      </c>
      <c r="E22" s="188" t="s">
        <v>55</v>
      </c>
      <c r="F22" s="188" t="s">
        <v>56</v>
      </c>
      <c r="G22" s="174">
        <v>0</v>
      </c>
      <c r="H22" s="195">
        <f t="shared" si="7"/>
        <v>0</v>
      </c>
      <c r="I22" s="174">
        <v>0</v>
      </c>
      <c r="J22" s="195">
        <f t="shared" si="12"/>
        <v>0</v>
      </c>
      <c r="K22" s="174">
        <v>0</v>
      </c>
      <c r="L22" s="195">
        <f t="shared" si="8"/>
        <v>0</v>
      </c>
      <c r="M22" s="174">
        <v>0</v>
      </c>
      <c r="N22" s="195">
        <f t="shared" si="9"/>
        <v>0</v>
      </c>
      <c r="O22" s="174">
        <v>0</v>
      </c>
      <c r="P22" s="195">
        <f t="shared" si="10"/>
        <v>0</v>
      </c>
      <c r="Q22" s="194">
        <v>0</v>
      </c>
      <c r="R22" s="195">
        <f t="shared" si="11"/>
        <v>0</v>
      </c>
      <c r="S22" s="194"/>
      <c r="T22" s="195">
        <f t="shared" si="1"/>
        <v>0</v>
      </c>
      <c r="U22" s="194"/>
      <c r="V22" s="195">
        <f t="shared" si="2"/>
        <v>0</v>
      </c>
      <c r="W22" s="194"/>
      <c r="X22" s="195">
        <f t="shared" si="3"/>
        <v>0</v>
      </c>
      <c r="Y22" s="194"/>
      <c r="Z22" s="195">
        <f t="shared" si="4"/>
        <v>0</v>
      </c>
      <c r="AA22" s="194"/>
      <c r="AB22" s="195">
        <f t="shared" si="5"/>
        <v>0</v>
      </c>
      <c r="AC22" s="194"/>
      <c r="AD22" s="195">
        <f t="shared" si="6"/>
        <v>0</v>
      </c>
      <c r="AE22" s="206">
        <f t="shared" si="0"/>
        <v>0</v>
      </c>
    </row>
    <row r="23" spans="1:47" ht="30" customHeight="1">
      <c r="A23" s="230"/>
      <c r="B23" s="228" t="s">
        <v>57</v>
      </c>
      <c r="C23" s="229"/>
      <c r="D23" s="192">
        <v>0.54100000000000004</v>
      </c>
      <c r="E23" s="188" t="s">
        <v>55</v>
      </c>
      <c r="F23" s="188" t="s">
        <v>56</v>
      </c>
      <c r="G23" s="173">
        <v>784</v>
      </c>
      <c r="H23" s="195">
        <f t="shared" si="7"/>
        <v>424.14400000000001</v>
      </c>
      <c r="I23" s="173">
        <v>668</v>
      </c>
      <c r="J23" s="195">
        <f t="shared" si="12"/>
        <v>361.38800000000003</v>
      </c>
      <c r="K23" s="173">
        <v>543</v>
      </c>
      <c r="L23" s="195">
        <f t="shared" si="8"/>
        <v>293.76300000000003</v>
      </c>
      <c r="M23" s="173">
        <v>487</v>
      </c>
      <c r="N23" s="195">
        <f t="shared" si="9"/>
        <v>263.46700000000004</v>
      </c>
      <c r="O23" s="173">
        <v>581</v>
      </c>
      <c r="P23" s="195">
        <f t="shared" si="10"/>
        <v>314.32100000000003</v>
      </c>
      <c r="Q23" s="194">
        <v>0</v>
      </c>
      <c r="R23" s="195">
        <f t="shared" si="11"/>
        <v>0</v>
      </c>
      <c r="S23" s="194"/>
      <c r="T23" s="195">
        <f t="shared" si="1"/>
        <v>0</v>
      </c>
      <c r="U23" s="194"/>
      <c r="V23" s="195">
        <f t="shared" si="2"/>
        <v>0</v>
      </c>
      <c r="W23" s="194"/>
      <c r="X23" s="195">
        <f t="shared" si="3"/>
        <v>0</v>
      </c>
      <c r="Y23" s="194"/>
      <c r="Z23" s="195">
        <f t="shared" si="4"/>
        <v>0</v>
      </c>
      <c r="AA23" s="194"/>
      <c r="AB23" s="195">
        <f t="shared" si="5"/>
        <v>0</v>
      </c>
      <c r="AC23" s="194"/>
      <c r="AD23" s="195">
        <f t="shared" si="6"/>
        <v>0</v>
      </c>
      <c r="AE23" s="206">
        <f t="shared" si="0"/>
        <v>1657.0830000000001</v>
      </c>
    </row>
    <row r="24" spans="1:47" ht="30" customHeight="1">
      <c r="A24" s="230"/>
      <c r="B24" s="241" t="s">
        <v>58</v>
      </c>
      <c r="C24" s="242"/>
      <c r="D24" s="192">
        <v>2.3199999999999998</v>
      </c>
      <c r="E24" s="188" t="s">
        <v>53</v>
      </c>
      <c r="F24" s="198" t="s">
        <v>36</v>
      </c>
      <c r="G24" s="174">
        <v>185.10000000000002</v>
      </c>
      <c r="H24" s="195">
        <f t="shared" si="7"/>
        <v>429.43200000000002</v>
      </c>
      <c r="I24" s="174">
        <v>220.70000000000002</v>
      </c>
      <c r="J24" s="195">
        <f t="shared" si="12"/>
        <v>512.024</v>
      </c>
      <c r="K24" s="174">
        <v>351.6</v>
      </c>
      <c r="L24" s="195">
        <f t="shared" si="8"/>
        <v>815.71199999999999</v>
      </c>
      <c r="M24" s="174">
        <v>622.24</v>
      </c>
      <c r="N24" s="195">
        <f t="shared" si="9"/>
        <v>1443.5968</v>
      </c>
      <c r="O24" s="174">
        <v>155.79999999999998</v>
      </c>
      <c r="P24" s="195">
        <f t="shared" si="10"/>
        <v>361.45599999999996</v>
      </c>
      <c r="Q24" s="194">
        <v>243.49999999999997</v>
      </c>
      <c r="R24" s="195">
        <f t="shared" si="11"/>
        <v>564.91999999999985</v>
      </c>
      <c r="S24" s="194"/>
      <c r="T24" s="195">
        <f t="shared" si="1"/>
        <v>0</v>
      </c>
      <c r="U24" s="194"/>
      <c r="V24" s="195">
        <f t="shared" si="2"/>
        <v>0</v>
      </c>
      <c r="W24" s="194"/>
      <c r="X24" s="195">
        <f t="shared" si="3"/>
        <v>0</v>
      </c>
      <c r="Y24" s="194"/>
      <c r="Z24" s="195">
        <f t="shared" si="4"/>
        <v>0</v>
      </c>
      <c r="AA24" s="194"/>
      <c r="AB24" s="195">
        <f t="shared" si="5"/>
        <v>0</v>
      </c>
      <c r="AC24" s="194"/>
      <c r="AD24" s="195">
        <f t="shared" si="6"/>
        <v>0</v>
      </c>
      <c r="AE24" s="206">
        <f t="shared" si="0"/>
        <v>4127.1408000000001</v>
      </c>
    </row>
    <row r="25" spans="1:47" ht="30" customHeight="1">
      <c r="A25" s="230"/>
      <c r="B25" s="243" t="s">
        <v>59</v>
      </c>
      <c r="C25" s="244"/>
      <c r="D25" s="192">
        <v>2.7078000000000002</v>
      </c>
      <c r="E25" s="188" t="s">
        <v>26</v>
      </c>
      <c r="F25" s="188" t="s">
        <v>27</v>
      </c>
      <c r="G25" s="174">
        <v>0</v>
      </c>
      <c r="H25" s="195">
        <f t="shared" si="7"/>
        <v>0</v>
      </c>
      <c r="I25" s="174">
        <v>0</v>
      </c>
      <c r="J25" s="195">
        <f t="shared" si="12"/>
        <v>0</v>
      </c>
      <c r="K25" s="174">
        <v>0</v>
      </c>
      <c r="L25" s="195">
        <f t="shared" si="8"/>
        <v>0</v>
      </c>
      <c r="M25" s="174">
        <v>0</v>
      </c>
      <c r="N25" s="195">
        <f t="shared" si="9"/>
        <v>0</v>
      </c>
      <c r="O25" s="174">
        <v>0</v>
      </c>
      <c r="P25" s="195">
        <f t="shared" si="10"/>
        <v>0</v>
      </c>
      <c r="Q25" s="194">
        <v>0</v>
      </c>
      <c r="R25" s="195">
        <f t="shared" si="11"/>
        <v>0</v>
      </c>
      <c r="S25" s="194"/>
      <c r="T25" s="195">
        <f t="shared" si="1"/>
        <v>0</v>
      </c>
      <c r="U25" s="194"/>
      <c r="V25" s="195">
        <f t="shared" si="2"/>
        <v>0</v>
      </c>
      <c r="W25" s="194"/>
      <c r="X25" s="195">
        <f t="shared" si="3"/>
        <v>0</v>
      </c>
      <c r="Y25" s="194"/>
      <c r="Z25" s="195">
        <f t="shared" si="4"/>
        <v>0</v>
      </c>
      <c r="AA25" s="194"/>
      <c r="AB25" s="195">
        <f t="shared" si="5"/>
        <v>0</v>
      </c>
      <c r="AC25" s="194"/>
      <c r="AD25" s="195">
        <f t="shared" si="6"/>
        <v>0</v>
      </c>
      <c r="AE25" s="206">
        <f t="shared" si="0"/>
        <v>0</v>
      </c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T25" s="120"/>
      <c r="AU25" s="120"/>
    </row>
    <row r="26" spans="1:47" ht="30" customHeight="1">
      <c r="A26" s="225" t="s">
        <v>19</v>
      </c>
      <c r="B26" s="225"/>
      <c r="C26" s="225"/>
      <c r="D26" s="225"/>
      <c r="E26" s="225"/>
      <c r="F26" s="225"/>
      <c r="G26" s="189"/>
      <c r="H26" s="195">
        <f>SUM(H6:H25)</f>
        <v>2516.1448399999999</v>
      </c>
      <c r="I26" s="195"/>
      <c r="J26" s="195">
        <f t="shared" ref="J26:AE26" si="13">SUM(J6:J25)</f>
        <v>2968.9023799999995</v>
      </c>
      <c r="K26" s="195"/>
      <c r="L26" s="195">
        <f t="shared" si="13"/>
        <v>2777.2606599999999</v>
      </c>
      <c r="M26" s="195"/>
      <c r="N26" s="195">
        <f t="shared" si="13"/>
        <v>5444.3085600000004</v>
      </c>
      <c r="O26" s="195"/>
      <c r="P26" s="195">
        <f t="shared" si="13"/>
        <v>2571.7124600000002</v>
      </c>
      <c r="Q26" s="194"/>
      <c r="R26" s="195">
        <f t="shared" si="13"/>
        <v>762.82399999999984</v>
      </c>
      <c r="S26" s="194"/>
      <c r="T26" s="195">
        <f t="shared" si="13"/>
        <v>0</v>
      </c>
      <c r="U26" s="194"/>
      <c r="V26" s="195">
        <f t="shared" si="13"/>
        <v>0</v>
      </c>
      <c r="W26" s="194"/>
      <c r="X26" s="195">
        <f t="shared" si="13"/>
        <v>0</v>
      </c>
      <c r="Y26" s="194"/>
      <c r="Z26" s="195">
        <f t="shared" si="13"/>
        <v>0</v>
      </c>
      <c r="AA26" s="194"/>
      <c r="AB26" s="195">
        <f t="shared" si="13"/>
        <v>0</v>
      </c>
      <c r="AC26" s="194"/>
      <c r="AD26" s="195">
        <f t="shared" si="13"/>
        <v>0</v>
      </c>
      <c r="AE26" s="195">
        <f t="shared" si="13"/>
        <v>17041.152900000001</v>
      </c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T26" s="120"/>
      <c r="AU26" s="120"/>
    </row>
    <row r="27" spans="1:47" ht="30" customHeight="1">
      <c r="A27" s="167"/>
      <c r="B27" s="133"/>
      <c r="C27" s="133"/>
      <c r="D27" s="133"/>
      <c r="E27" s="133"/>
      <c r="F27" s="133"/>
      <c r="G27" s="134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T27" s="120"/>
      <c r="AU27" s="120"/>
    </row>
    <row r="28" spans="1:47" s="119" customFormat="1" ht="30" customHeight="1">
      <c r="B28" s="151" t="s">
        <v>60</v>
      </c>
      <c r="C28" s="120" t="s">
        <v>61</v>
      </c>
      <c r="G28" s="217"/>
      <c r="H28" s="121"/>
      <c r="K28" s="122"/>
    </row>
    <row r="29" spans="1:47" ht="30" customHeight="1">
      <c r="C29" s="120" t="s">
        <v>62</v>
      </c>
      <c r="L29" s="121"/>
      <c r="M29" s="121"/>
      <c r="N29" s="121"/>
      <c r="O29" s="121"/>
      <c r="Q29" s="121"/>
      <c r="R29" s="121"/>
      <c r="S29" s="121"/>
      <c r="T29" s="121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T29" s="120"/>
      <c r="AU29" s="120"/>
    </row>
    <row r="30" spans="1:47" ht="30" customHeight="1">
      <c r="C30" s="126" t="s">
        <v>63</v>
      </c>
      <c r="L30" s="121"/>
      <c r="M30" s="121"/>
      <c r="N30" s="121"/>
      <c r="O30" s="121"/>
      <c r="Q30" s="121"/>
      <c r="R30" s="121"/>
      <c r="S30" s="121"/>
      <c r="T30" s="121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T30" s="120"/>
      <c r="AU30" s="120"/>
    </row>
    <row r="31" spans="1:47" ht="30" customHeight="1">
      <c r="C31" s="126" t="s">
        <v>64</v>
      </c>
      <c r="L31" s="121"/>
      <c r="M31" s="121"/>
      <c r="N31" s="121"/>
      <c r="O31" s="121"/>
      <c r="Q31" s="121"/>
      <c r="R31" s="121"/>
      <c r="S31" s="121"/>
      <c r="T31" s="121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T31" s="120"/>
      <c r="AU31" s="120"/>
    </row>
    <row r="32" spans="1:47" ht="30" customHeight="1">
      <c r="C32" s="126" t="s">
        <v>65</v>
      </c>
      <c r="L32" s="121"/>
      <c r="M32" s="121"/>
      <c r="N32" s="121"/>
      <c r="O32" s="121"/>
      <c r="Q32" s="121"/>
      <c r="R32" s="121"/>
      <c r="S32" s="121"/>
      <c r="T32" s="121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T32" s="120"/>
      <c r="AU32" s="120"/>
    </row>
    <row r="33" spans="1:47" ht="30" customHeight="1">
      <c r="C33" s="126" t="s">
        <v>66</v>
      </c>
      <c r="L33" s="127"/>
      <c r="M33" s="128"/>
      <c r="N33" s="129"/>
      <c r="O33" s="127"/>
      <c r="Q33" s="127"/>
      <c r="R33" s="128"/>
      <c r="S33" s="129"/>
      <c r="T33" s="127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T33" s="120"/>
      <c r="AU33" s="120"/>
    </row>
    <row r="34" spans="1:47" ht="30" customHeight="1">
      <c r="C34" s="126" t="s">
        <v>67</v>
      </c>
      <c r="L34" s="127"/>
      <c r="M34" s="128"/>
      <c r="N34" s="129"/>
      <c r="O34" s="127"/>
      <c r="Q34" s="127"/>
      <c r="R34" s="128"/>
      <c r="S34" s="129"/>
      <c r="T34" s="127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T34" s="120"/>
      <c r="AU34" s="120"/>
    </row>
    <row r="35" spans="1:47" ht="30" customHeight="1">
      <c r="C35" s="120" t="s">
        <v>68</v>
      </c>
      <c r="L35" s="127"/>
      <c r="M35" s="128"/>
      <c r="N35" s="129"/>
      <c r="O35" s="127"/>
      <c r="Q35" s="127"/>
      <c r="R35" s="128"/>
      <c r="S35" s="129"/>
      <c r="T35" s="127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T35" s="120"/>
      <c r="AU35" s="120"/>
    </row>
    <row r="36" spans="1:47" ht="30" customHeight="1">
      <c r="C36" s="235" t="s">
        <v>69</v>
      </c>
      <c r="D36" s="237" t="s">
        <v>70</v>
      </c>
      <c r="E36" s="237"/>
      <c r="F36" s="239" t="s">
        <v>71</v>
      </c>
      <c r="G36" s="239"/>
      <c r="L36" s="127"/>
      <c r="M36" s="128"/>
      <c r="N36" s="129"/>
      <c r="O36" s="127"/>
      <c r="Q36" s="127"/>
      <c r="R36" s="128"/>
      <c r="S36" s="129"/>
      <c r="T36" s="127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T36" s="120"/>
      <c r="AU36" s="120"/>
    </row>
    <row r="37" spans="1:47" ht="30" customHeight="1">
      <c r="C37" s="236"/>
      <c r="D37" s="238"/>
      <c r="E37" s="238"/>
      <c r="F37" s="240"/>
      <c r="G37" s="240"/>
      <c r="K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T37" s="120"/>
      <c r="AU37" s="120"/>
    </row>
    <row r="38" spans="1:47" ht="30" customHeight="1">
      <c r="C38" s="116" t="s">
        <v>72</v>
      </c>
      <c r="D38" s="116" t="s">
        <v>73</v>
      </c>
      <c r="E38" s="116" t="s">
        <v>272</v>
      </c>
      <c r="F38" s="116" t="s">
        <v>73</v>
      </c>
      <c r="G38" s="116" t="s">
        <v>272</v>
      </c>
      <c r="K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T38" s="120"/>
      <c r="AU38" s="120"/>
    </row>
    <row r="39" spans="1:47" ht="30" customHeight="1">
      <c r="C39" s="117" t="s">
        <v>74</v>
      </c>
      <c r="D39" s="210">
        <f>(SUM('สรุปการคำนวณ ปีฐาน'!AD8:AD19))/1000</f>
        <v>3.7534559999999995</v>
      </c>
      <c r="E39" s="211">
        <f>(SUM(AE8:AE19))/1000</f>
        <v>1.6407552000000001</v>
      </c>
      <c r="F39" s="213">
        <f>D39*100/$D$42</f>
        <v>9.2073232154717495</v>
      </c>
      <c r="G39" s="212">
        <f>(E39*100)/$E$42</f>
        <v>9.6281936417576546</v>
      </c>
      <c r="K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T39" s="120"/>
      <c r="AU39" s="120"/>
    </row>
    <row r="40" spans="1:47" ht="30" customHeight="1">
      <c r="C40" s="117" t="s">
        <v>75</v>
      </c>
      <c r="D40" s="210">
        <f>'สรุปการคำนวณ ปีฐาน'!AD20/1000</f>
        <v>27.307987310000005</v>
      </c>
      <c r="E40" s="211">
        <f>$AE$20/1000</f>
        <v>9.2796437000000012</v>
      </c>
      <c r="F40" s="213">
        <f t="shared" ref="F40:F42" si="14">D40*100/$D$42</f>
        <v>66.9871887474293</v>
      </c>
      <c r="G40" s="212">
        <f>(E40*100)/$E$42</f>
        <v>54.454318639439009</v>
      </c>
      <c r="K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T40" s="120"/>
      <c r="AU40" s="120"/>
    </row>
    <row r="41" spans="1:47" ht="30" customHeight="1">
      <c r="C41" s="117" t="s">
        <v>76</v>
      </c>
      <c r="D41" s="210">
        <f>(SUM('สรุปการคำนวณ ปีฐาน'!AD21:AD25))/1000</f>
        <v>9.7045416800000002</v>
      </c>
      <c r="E41" s="211">
        <f>SUM(AE21:AE24)/1000</f>
        <v>6.1207539999999998</v>
      </c>
      <c r="F41" s="213">
        <f t="shared" si="14"/>
        <v>23.805488037098936</v>
      </c>
      <c r="G41" s="212">
        <f>(E41*100)/$E$42</f>
        <v>35.917487718803343</v>
      </c>
      <c r="K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T41" s="120"/>
      <c r="AU41" s="120"/>
    </row>
    <row r="42" spans="1:47" ht="30" customHeight="1">
      <c r="A42" s="168"/>
      <c r="B42" s="130"/>
      <c r="C42" s="117" t="s">
        <v>19</v>
      </c>
      <c r="D42" s="118">
        <f>SUM(D39:D41)</f>
        <v>40.765984990000007</v>
      </c>
      <c r="E42" s="118">
        <f>SUM(E39:E41)</f>
        <v>17.0411529</v>
      </c>
      <c r="F42" s="199">
        <f t="shared" si="14"/>
        <v>100</v>
      </c>
      <c r="G42" s="199">
        <f>(E42*100)/$E$42</f>
        <v>100</v>
      </c>
      <c r="K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T42" s="120"/>
      <c r="AU42" s="120"/>
    </row>
    <row r="43" spans="1:47" ht="30" customHeight="1">
      <c r="A43" s="168"/>
      <c r="B43" s="130"/>
      <c r="C43" s="128"/>
      <c r="K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T43" s="120"/>
      <c r="AU43" s="120"/>
    </row>
    <row r="44" spans="1:47" ht="30" customHeight="1">
      <c r="A44" s="168"/>
      <c r="B44" s="130"/>
      <c r="C44" s="128"/>
      <c r="K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T44" s="120"/>
      <c r="AU44" s="120"/>
    </row>
    <row r="45" spans="1:47" ht="30" customHeight="1">
      <c r="K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T45" s="120"/>
      <c r="AU45" s="120"/>
    </row>
    <row r="46" spans="1:47" ht="30" customHeight="1">
      <c r="K46" s="120"/>
      <c r="AS46" s="124"/>
    </row>
    <row r="47" spans="1:47" ht="30" customHeight="1">
      <c r="K47" s="120"/>
      <c r="AS47" s="124"/>
    </row>
    <row r="48" spans="1:47" ht="30" customHeight="1">
      <c r="K48" s="120"/>
      <c r="AS48" s="124"/>
    </row>
    <row r="49" spans="1:47" ht="30" customHeight="1">
      <c r="C49" s="259" t="s">
        <v>279</v>
      </c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AS49" s="124"/>
    </row>
    <row r="50" spans="1:47" ht="30" customHeight="1">
      <c r="A50" s="169"/>
      <c r="B50" s="136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T50" s="120"/>
      <c r="AU50" s="120"/>
    </row>
    <row r="51" spans="1:47" ht="30" customHeight="1">
      <c r="A51" s="170"/>
      <c r="B51" s="137"/>
      <c r="C51" s="138" t="s">
        <v>3</v>
      </c>
      <c r="D51" s="204" t="s">
        <v>7</v>
      </c>
      <c r="E51" s="204" t="s">
        <v>8</v>
      </c>
      <c r="F51" s="204" t="s">
        <v>77</v>
      </c>
      <c r="G51" s="204" t="s">
        <v>10</v>
      </c>
      <c r="H51" s="205" t="s">
        <v>11</v>
      </c>
      <c r="I51" s="204" t="s">
        <v>12</v>
      </c>
      <c r="J51" s="204" t="s">
        <v>13</v>
      </c>
      <c r="K51" s="204" t="s">
        <v>78</v>
      </c>
      <c r="L51" s="204" t="s">
        <v>15</v>
      </c>
      <c r="M51" s="204" t="s">
        <v>16</v>
      </c>
      <c r="N51" s="204" t="s">
        <v>17</v>
      </c>
      <c r="O51" s="204" t="s">
        <v>18</v>
      </c>
      <c r="P51" s="204" t="s">
        <v>19</v>
      </c>
      <c r="Q51" s="204" t="s">
        <v>79</v>
      </c>
      <c r="Y51" s="119"/>
      <c r="Z51" s="119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T51" s="120"/>
      <c r="AU51" s="120"/>
    </row>
    <row r="52" spans="1:47" ht="30" customHeight="1">
      <c r="A52" s="170"/>
      <c r="B52" s="137"/>
      <c r="C52" s="139" t="s">
        <v>80</v>
      </c>
      <c r="D52" s="140">
        <f>H8</f>
        <v>0</v>
      </c>
      <c r="E52" s="141">
        <f>J8</f>
        <v>0</v>
      </c>
      <c r="F52" s="141">
        <f>L8</f>
        <v>0</v>
      </c>
      <c r="G52" s="141">
        <f>N8</f>
        <v>0</v>
      </c>
      <c r="H52" s="141">
        <f>P8</f>
        <v>0</v>
      </c>
      <c r="I52" s="141">
        <f>R8</f>
        <v>0</v>
      </c>
      <c r="J52" s="141">
        <f>T8</f>
        <v>0</v>
      </c>
      <c r="K52" s="141">
        <f>V8</f>
        <v>0</v>
      </c>
      <c r="L52" s="141">
        <f>X8</f>
        <v>0</v>
      </c>
      <c r="M52" s="141">
        <f>Z8</f>
        <v>0</v>
      </c>
      <c r="N52" s="141">
        <f>AB8</f>
        <v>0</v>
      </c>
      <c r="O52" s="141">
        <f>AD8</f>
        <v>0</v>
      </c>
      <c r="P52" s="141">
        <f t="shared" ref="P52:P71" si="15">SUM(D52:O52)</f>
        <v>0</v>
      </c>
      <c r="Q52" s="141">
        <f t="shared" ref="Q52:Q71" si="16">AVERAGE(D52:O52)</f>
        <v>0</v>
      </c>
      <c r="Y52" s="119"/>
      <c r="Z52" s="119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T52" s="120"/>
      <c r="AU52" s="120"/>
    </row>
    <row r="53" spans="1:47" ht="30" customHeight="1">
      <c r="A53" s="170"/>
      <c r="B53" s="137"/>
      <c r="C53" s="139" t="s">
        <v>81</v>
      </c>
      <c r="D53" s="140">
        <f>H9</f>
        <v>0</v>
      </c>
      <c r="E53" s="141">
        <f>J9</f>
        <v>0</v>
      </c>
      <c r="F53" s="141">
        <f>L9</f>
        <v>0</v>
      </c>
      <c r="G53" s="141">
        <f>N9</f>
        <v>0</v>
      </c>
      <c r="H53" s="141">
        <f>P9</f>
        <v>0</v>
      </c>
      <c r="I53" s="141">
        <f>R9</f>
        <v>0</v>
      </c>
      <c r="J53" s="141">
        <f>T9</f>
        <v>0</v>
      </c>
      <c r="K53" s="141">
        <f>V9</f>
        <v>0</v>
      </c>
      <c r="L53" s="141">
        <f>X9</f>
        <v>0</v>
      </c>
      <c r="M53" s="141">
        <f>Z9</f>
        <v>0</v>
      </c>
      <c r="N53" s="141">
        <f>AB9</f>
        <v>0</v>
      </c>
      <c r="O53" s="141">
        <f>AD9</f>
        <v>0</v>
      </c>
      <c r="P53" s="141">
        <f t="shared" si="15"/>
        <v>0</v>
      </c>
      <c r="Q53" s="141">
        <f t="shared" si="16"/>
        <v>0</v>
      </c>
      <c r="Y53" s="119"/>
      <c r="Z53" s="119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T53" s="120"/>
      <c r="AU53" s="120"/>
    </row>
    <row r="54" spans="1:47" ht="30" customHeight="1">
      <c r="A54" s="170"/>
      <c r="B54" s="137"/>
      <c r="C54" s="139" t="s">
        <v>82</v>
      </c>
      <c r="D54" s="141">
        <f>H12</f>
        <v>0</v>
      </c>
      <c r="E54" s="141">
        <f t="shared" ref="E54:E67" si="17">J12</f>
        <v>0</v>
      </c>
      <c r="F54" s="141">
        <f t="shared" ref="F54:F67" si="18">L12</f>
        <v>0</v>
      </c>
      <c r="G54" s="141">
        <f t="shared" ref="G54:G67" si="19">N12</f>
        <v>0</v>
      </c>
      <c r="H54" s="141">
        <f t="shared" ref="H54:H67" si="20">P12</f>
        <v>0</v>
      </c>
      <c r="I54" s="141">
        <f t="shared" ref="I54:I67" si="21">R12</f>
        <v>0</v>
      </c>
      <c r="J54" s="141">
        <f t="shared" ref="J54:J67" si="22">T12</f>
        <v>0</v>
      </c>
      <c r="K54" s="141">
        <f t="shared" ref="K54:K67" si="23">V12</f>
        <v>0</v>
      </c>
      <c r="L54" s="141">
        <f t="shared" ref="L54:L67" si="24">X12</f>
        <v>0</v>
      </c>
      <c r="M54" s="141">
        <f t="shared" ref="M54:M67" si="25">Z12</f>
        <v>0</v>
      </c>
      <c r="N54" s="141">
        <f t="shared" ref="N54:N67" si="26">AB12</f>
        <v>0</v>
      </c>
      <c r="O54" s="141">
        <f t="shared" ref="O54:O67" si="27">AD12</f>
        <v>0</v>
      </c>
      <c r="P54" s="141">
        <f t="shared" si="15"/>
        <v>0</v>
      </c>
      <c r="Q54" s="141">
        <f t="shared" si="16"/>
        <v>0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T54" s="120"/>
      <c r="AU54" s="120"/>
    </row>
    <row r="55" spans="1:47" ht="30" customHeight="1">
      <c r="A55" s="170"/>
      <c r="B55" s="137"/>
      <c r="C55" s="139" t="s">
        <v>83</v>
      </c>
      <c r="D55" s="141">
        <f t="shared" ref="D55:D67" si="28">H13</f>
        <v>0</v>
      </c>
      <c r="E55" s="141">
        <f t="shared" si="17"/>
        <v>0</v>
      </c>
      <c r="F55" s="141">
        <f t="shared" si="18"/>
        <v>0</v>
      </c>
      <c r="G55" s="141">
        <f t="shared" si="19"/>
        <v>0</v>
      </c>
      <c r="H55" s="141">
        <f t="shared" si="20"/>
        <v>0</v>
      </c>
      <c r="I55" s="141">
        <f t="shared" si="21"/>
        <v>0</v>
      </c>
      <c r="J55" s="141">
        <f t="shared" si="22"/>
        <v>0</v>
      </c>
      <c r="K55" s="141">
        <f t="shared" si="23"/>
        <v>0</v>
      </c>
      <c r="L55" s="141">
        <f t="shared" si="24"/>
        <v>0</v>
      </c>
      <c r="M55" s="141">
        <f t="shared" si="25"/>
        <v>0</v>
      </c>
      <c r="N55" s="141">
        <f t="shared" si="26"/>
        <v>0</v>
      </c>
      <c r="O55" s="141">
        <f t="shared" si="27"/>
        <v>0</v>
      </c>
      <c r="P55" s="141">
        <f t="shared" si="15"/>
        <v>0</v>
      </c>
      <c r="Q55" s="141">
        <f t="shared" si="16"/>
        <v>0</v>
      </c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T55" s="120"/>
      <c r="AU55" s="120"/>
    </row>
    <row r="56" spans="1:47" ht="30" customHeight="1">
      <c r="A56" s="170"/>
      <c r="B56" s="137"/>
      <c r="C56" s="139" t="s">
        <v>84</v>
      </c>
      <c r="D56" s="141">
        <f t="shared" si="28"/>
        <v>0</v>
      </c>
      <c r="E56" s="141">
        <f t="shared" si="17"/>
        <v>0</v>
      </c>
      <c r="F56" s="141">
        <f t="shared" si="18"/>
        <v>0</v>
      </c>
      <c r="G56" s="141">
        <f t="shared" si="19"/>
        <v>0</v>
      </c>
      <c r="H56" s="141">
        <f t="shared" si="20"/>
        <v>0</v>
      </c>
      <c r="I56" s="141">
        <f t="shared" si="21"/>
        <v>0</v>
      </c>
      <c r="J56" s="141">
        <f t="shared" si="22"/>
        <v>0</v>
      </c>
      <c r="K56" s="141">
        <f t="shared" si="23"/>
        <v>0</v>
      </c>
      <c r="L56" s="141">
        <f t="shared" si="24"/>
        <v>0</v>
      </c>
      <c r="M56" s="141">
        <f t="shared" si="25"/>
        <v>0</v>
      </c>
      <c r="N56" s="141">
        <f t="shared" si="26"/>
        <v>0</v>
      </c>
      <c r="O56" s="141">
        <f t="shared" si="27"/>
        <v>0</v>
      </c>
      <c r="P56" s="141">
        <f t="shared" si="15"/>
        <v>0</v>
      </c>
      <c r="Q56" s="141">
        <f t="shared" si="16"/>
        <v>0</v>
      </c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T56" s="120"/>
      <c r="AU56" s="120"/>
    </row>
    <row r="57" spans="1:47" ht="30" customHeight="1">
      <c r="A57" s="170"/>
      <c r="B57" s="137"/>
      <c r="C57" s="139" t="s">
        <v>85</v>
      </c>
      <c r="D57" s="141">
        <f t="shared" si="28"/>
        <v>0</v>
      </c>
      <c r="E57" s="141">
        <f t="shared" si="17"/>
        <v>0</v>
      </c>
      <c r="F57" s="141">
        <f t="shared" si="18"/>
        <v>0</v>
      </c>
      <c r="G57" s="141">
        <f t="shared" si="19"/>
        <v>0</v>
      </c>
      <c r="H57" s="141">
        <f t="shared" si="20"/>
        <v>0</v>
      </c>
      <c r="I57" s="141">
        <f t="shared" si="21"/>
        <v>0</v>
      </c>
      <c r="J57" s="141">
        <f t="shared" si="22"/>
        <v>0</v>
      </c>
      <c r="K57" s="141">
        <f t="shared" si="23"/>
        <v>0</v>
      </c>
      <c r="L57" s="141">
        <f t="shared" si="24"/>
        <v>0</v>
      </c>
      <c r="M57" s="141">
        <f t="shared" si="25"/>
        <v>0</v>
      </c>
      <c r="N57" s="141">
        <f t="shared" si="26"/>
        <v>0</v>
      </c>
      <c r="O57" s="141">
        <f t="shared" si="27"/>
        <v>0</v>
      </c>
      <c r="P57" s="141">
        <f t="shared" si="15"/>
        <v>0</v>
      </c>
      <c r="Q57" s="141">
        <f t="shared" si="16"/>
        <v>0</v>
      </c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T57" s="120"/>
      <c r="AU57" s="120"/>
    </row>
    <row r="58" spans="1:47" ht="30" customHeight="1">
      <c r="A58" s="170"/>
      <c r="B58" s="137"/>
      <c r="C58" s="139" t="s">
        <v>86</v>
      </c>
      <c r="D58" s="141">
        <f t="shared" si="28"/>
        <v>229.15200000000004</v>
      </c>
      <c r="E58" s="141">
        <f t="shared" si="17"/>
        <v>197.90400000000002</v>
      </c>
      <c r="F58" s="141">
        <f t="shared" si="18"/>
        <v>218.73600000000002</v>
      </c>
      <c r="G58" s="141">
        <f t="shared" si="19"/>
        <v>187.488</v>
      </c>
      <c r="H58" s="141">
        <f t="shared" si="20"/>
        <v>197.90400000000002</v>
      </c>
      <c r="I58" s="141">
        <f t="shared" si="21"/>
        <v>197.90400000000002</v>
      </c>
      <c r="J58" s="141">
        <f t="shared" si="22"/>
        <v>0</v>
      </c>
      <c r="K58" s="141">
        <f t="shared" si="23"/>
        <v>0</v>
      </c>
      <c r="L58" s="141">
        <f t="shared" si="24"/>
        <v>0</v>
      </c>
      <c r="M58" s="141">
        <f t="shared" si="25"/>
        <v>0</v>
      </c>
      <c r="N58" s="141">
        <f t="shared" si="26"/>
        <v>0</v>
      </c>
      <c r="O58" s="141">
        <f t="shared" si="27"/>
        <v>0</v>
      </c>
      <c r="P58" s="141">
        <f t="shared" si="15"/>
        <v>1229.088</v>
      </c>
      <c r="Q58" s="141">
        <f t="shared" si="16"/>
        <v>102.42399999999999</v>
      </c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T58" s="120"/>
      <c r="AU58" s="120"/>
    </row>
    <row r="59" spans="1:47" ht="30" customHeight="1">
      <c r="A59" s="170"/>
      <c r="B59" s="137"/>
      <c r="C59" s="139" t="s">
        <v>87</v>
      </c>
      <c r="D59" s="141">
        <f t="shared" si="28"/>
        <v>105.36960000000001</v>
      </c>
      <c r="E59" s="141">
        <f t="shared" si="17"/>
        <v>89.779200000000003</v>
      </c>
      <c r="F59" s="141">
        <f t="shared" si="18"/>
        <v>72.979200000000006</v>
      </c>
      <c r="G59" s="141">
        <f t="shared" si="19"/>
        <v>65.452800000000011</v>
      </c>
      <c r="H59" s="141">
        <f t="shared" si="20"/>
        <v>78.086399999999998</v>
      </c>
      <c r="I59" s="141">
        <f t="shared" si="21"/>
        <v>0</v>
      </c>
      <c r="J59" s="141">
        <f t="shared" si="22"/>
        <v>0</v>
      </c>
      <c r="K59" s="141">
        <f t="shared" si="23"/>
        <v>0</v>
      </c>
      <c r="L59" s="141">
        <f t="shared" si="24"/>
        <v>0</v>
      </c>
      <c r="M59" s="141">
        <f t="shared" si="25"/>
        <v>0</v>
      </c>
      <c r="N59" s="141">
        <f t="shared" si="26"/>
        <v>0</v>
      </c>
      <c r="O59" s="141">
        <f t="shared" si="27"/>
        <v>0</v>
      </c>
      <c r="P59" s="141">
        <f t="shared" si="15"/>
        <v>411.66719999999998</v>
      </c>
      <c r="Q59" s="141">
        <f t="shared" si="16"/>
        <v>34.305599999999998</v>
      </c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T59" s="120"/>
      <c r="AU59" s="120"/>
    </row>
    <row r="60" spans="1:47" ht="30" customHeight="1">
      <c r="A60" s="170"/>
      <c r="B60" s="137"/>
      <c r="C60" s="139" t="s">
        <v>88</v>
      </c>
      <c r="D60" s="141">
        <f t="shared" si="28"/>
        <v>0</v>
      </c>
      <c r="E60" s="141">
        <f t="shared" si="17"/>
        <v>0</v>
      </c>
      <c r="F60" s="141">
        <f t="shared" si="18"/>
        <v>0</v>
      </c>
      <c r="G60" s="141">
        <f t="shared" si="19"/>
        <v>0</v>
      </c>
      <c r="H60" s="141">
        <f t="shared" si="20"/>
        <v>0</v>
      </c>
      <c r="I60" s="141">
        <f t="shared" si="21"/>
        <v>0</v>
      </c>
      <c r="J60" s="141">
        <f t="shared" si="22"/>
        <v>0</v>
      </c>
      <c r="K60" s="141">
        <f t="shared" si="23"/>
        <v>0</v>
      </c>
      <c r="L60" s="141">
        <f t="shared" si="24"/>
        <v>0</v>
      </c>
      <c r="M60" s="141">
        <f t="shared" si="25"/>
        <v>0</v>
      </c>
      <c r="N60" s="141">
        <f t="shared" si="26"/>
        <v>0</v>
      </c>
      <c r="O60" s="141">
        <f t="shared" si="27"/>
        <v>0</v>
      </c>
      <c r="P60" s="141">
        <f t="shared" si="15"/>
        <v>0</v>
      </c>
      <c r="Q60" s="141">
        <f t="shared" si="16"/>
        <v>0</v>
      </c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T60" s="120"/>
      <c r="AU60" s="120"/>
    </row>
    <row r="61" spans="1:47" ht="30" customHeight="1">
      <c r="A61" s="170"/>
      <c r="B61" s="137"/>
      <c r="C61" s="139" t="s">
        <v>89</v>
      </c>
      <c r="D61" s="141">
        <f t="shared" si="28"/>
        <v>0</v>
      </c>
      <c r="E61" s="141">
        <f t="shared" si="17"/>
        <v>0</v>
      </c>
      <c r="F61" s="141">
        <f t="shared" si="18"/>
        <v>0</v>
      </c>
      <c r="G61" s="141">
        <f t="shared" si="19"/>
        <v>0</v>
      </c>
      <c r="H61" s="141">
        <f t="shared" si="20"/>
        <v>0</v>
      </c>
      <c r="I61" s="141">
        <f t="shared" si="21"/>
        <v>0</v>
      </c>
      <c r="J61" s="141">
        <f t="shared" si="22"/>
        <v>0</v>
      </c>
      <c r="K61" s="141">
        <f t="shared" si="23"/>
        <v>0</v>
      </c>
      <c r="L61" s="141">
        <f t="shared" si="24"/>
        <v>0</v>
      </c>
      <c r="M61" s="141">
        <f t="shared" si="25"/>
        <v>0</v>
      </c>
      <c r="N61" s="141">
        <f t="shared" si="26"/>
        <v>0</v>
      </c>
      <c r="O61" s="141">
        <f t="shared" si="27"/>
        <v>0</v>
      </c>
      <c r="P61" s="141">
        <f t="shared" si="15"/>
        <v>0</v>
      </c>
      <c r="Q61" s="141">
        <f t="shared" si="16"/>
        <v>0</v>
      </c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T61" s="120"/>
      <c r="AU61" s="120"/>
    </row>
    <row r="62" spans="1:47" ht="30" customHeight="1">
      <c r="A62" s="170"/>
      <c r="B62" s="137"/>
      <c r="C62" s="139" t="s">
        <v>48</v>
      </c>
      <c r="D62" s="141">
        <f t="shared" si="28"/>
        <v>1314.2371000000001</v>
      </c>
      <c r="E62" s="141">
        <f t="shared" si="17"/>
        <v>1734.1531</v>
      </c>
      <c r="F62" s="141">
        <f t="shared" si="18"/>
        <v>1234.7529999999999</v>
      </c>
      <c r="G62" s="141">
        <f t="shared" si="19"/>
        <v>3438.3122000000003</v>
      </c>
      <c r="H62" s="141">
        <f t="shared" si="20"/>
        <v>1558.1883</v>
      </c>
      <c r="I62" s="141">
        <f t="shared" si="21"/>
        <v>0</v>
      </c>
      <c r="J62" s="141">
        <f t="shared" si="22"/>
        <v>0</v>
      </c>
      <c r="K62" s="141">
        <f t="shared" si="23"/>
        <v>0</v>
      </c>
      <c r="L62" s="141">
        <f t="shared" si="24"/>
        <v>0</v>
      </c>
      <c r="M62" s="141">
        <f t="shared" si="25"/>
        <v>0</v>
      </c>
      <c r="N62" s="141">
        <f t="shared" si="26"/>
        <v>0</v>
      </c>
      <c r="O62" s="141">
        <f t="shared" si="27"/>
        <v>0</v>
      </c>
      <c r="P62" s="141">
        <f t="shared" si="15"/>
        <v>9279.6437000000005</v>
      </c>
      <c r="Q62" s="141">
        <f t="shared" si="16"/>
        <v>773.30364166666675</v>
      </c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T62" s="120"/>
      <c r="AU62" s="120"/>
    </row>
    <row r="63" spans="1:47" ht="30" customHeight="1">
      <c r="A63" s="170"/>
      <c r="B63" s="137"/>
      <c r="C63" s="139" t="s">
        <v>52</v>
      </c>
      <c r="D63" s="141">
        <f t="shared" si="28"/>
        <v>13.810140000000001</v>
      </c>
      <c r="E63" s="141">
        <f t="shared" si="17"/>
        <v>73.654079999999993</v>
      </c>
      <c r="F63" s="141">
        <f t="shared" si="18"/>
        <v>141.31745999999998</v>
      </c>
      <c r="G63" s="141">
        <f t="shared" si="19"/>
        <v>45.991759999999992</v>
      </c>
      <c r="H63" s="141">
        <f t="shared" si="20"/>
        <v>61.756759999999993</v>
      </c>
      <c r="I63" s="141">
        <f t="shared" si="21"/>
        <v>0</v>
      </c>
      <c r="J63" s="141">
        <f t="shared" si="22"/>
        <v>0</v>
      </c>
      <c r="K63" s="141">
        <f t="shared" si="23"/>
        <v>0</v>
      </c>
      <c r="L63" s="141">
        <f t="shared" si="24"/>
        <v>0</v>
      </c>
      <c r="M63" s="141">
        <f t="shared" si="25"/>
        <v>0</v>
      </c>
      <c r="N63" s="141">
        <f t="shared" si="26"/>
        <v>0</v>
      </c>
      <c r="O63" s="141">
        <f t="shared" si="27"/>
        <v>0</v>
      </c>
      <c r="P63" s="141">
        <f t="shared" si="15"/>
        <v>336.53019999999998</v>
      </c>
      <c r="Q63" s="141">
        <f t="shared" si="16"/>
        <v>28.044183333333333</v>
      </c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T63" s="120"/>
      <c r="AU63" s="120"/>
    </row>
    <row r="64" spans="1:47" ht="30" customHeight="1">
      <c r="A64" s="170"/>
      <c r="B64" s="137"/>
      <c r="C64" s="139" t="s">
        <v>54</v>
      </c>
      <c r="D64" s="141">
        <f t="shared" si="28"/>
        <v>0</v>
      </c>
      <c r="E64" s="141">
        <f t="shared" si="17"/>
        <v>0</v>
      </c>
      <c r="F64" s="141">
        <f t="shared" si="18"/>
        <v>0</v>
      </c>
      <c r="G64" s="141">
        <f t="shared" si="19"/>
        <v>0</v>
      </c>
      <c r="H64" s="141">
        <f t="shared" si="20"/>
        <v>0</v>
      </c>
      <c r="I64" s="141">
        <f t="shared" si="21"/>
        <v>0</v>
      </c>
      <c r="J64" s="141">
        <f t="shared" si="22"/>
        <v>0</v>
      </c>
      <c r="K64" s="141">
        <f t="shared" si="23"/>
        <v>0</v>
      </c>
      <c r="L64" s="141">
        <f t="shared" si="24"/>
        <v>0</v>
      </c>
      <c r="M64" s="141">
        <f t="shared" si="25"/>
        <v>0</v>
      </c>
      <c r="N64" s="141">
        <f t="shared" si="26"/>
        <v>0</v>
      </c>
      <c r="O64" s="141">
        <f t="shared" si="27"/>
        <v>0</v>
      </c>
      <c r="P64" s="141">
        <f t="shared" si="15"/>
        <v>0</v>
      </c>
      <c r="Q64" s="141">
        <f t="shared" si="16"/>
        <v>0</v>
      </c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T64" s="120"/>
      <c r="AU64" s="120"/>
    </row>
    <row r="65" spans="1:47" ht="30" customHeight="1">
      <c r="A65" s="170"/>
      <c r="B65" s="137"/>
      <c r="C65" s="139" t="s">
        <v>57</v>
      </c>
      <c r="D65" s="141">
        <f t="shared" si="28"/>
        <v>424.14400000000001</v>
      </c>
      <c r="E65" s="141">
        <f t="shared" si="17"/>
        <v>361.38800000000003</v>
      </c>
      <c r="F65" s="141">
        <f t="shared" si="18"/>
        <v>293.76300000000003</v>
      </c>
      <c r="G65" s="141">
        <f t="shared" si="19"/>
        <v>263.46700000000004</v>
      </c>
      <c r="H65" s="141">
        <f t="shared" si="20"/>
        <v>314.32100000000003</v>
      </c>
      <c r="I65" s="141">
        <f t="shared" si="21"/>
        <v>0</v>
      </c>
      <c r="J65" s="141">
        <f t="shared" si="22"/>
        <v>0</v>
      </c>
      <c r="K65" s="141">
        <f t="shared" si="23"/>
        <v>0</v>
      </c>
      <c r="L65" s="141">
        <f t="shared" si="24"/>
        <v>0</v>
      </c>
      <c r="M65" s="141">
        <f t="shared" si="25"/>
        <v>0</v>
      </c>
      <c r="N65" s="141">
        <f t="shared" si="26"/>
        <v>0</v>
      </c>
      <c r="O65" s="141">
        <f t="shared" si="27"/>
        <v>0</v>
      </c>
      <c r="P65" s="141">
        <f t="shared" si="15"/>
        <v>1657.0830000000001</v>
      </c>
      <c r="Q65" s="141">
        <f t="shared" si="16"/>
        <v>138.09025</v>
      </c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T65" s="120"/>
      <c r="AU65" s="120"/>
    </row>
    <row r="66" spans="1:47" ht="30" customHeight="1">
      <c r="A66" s="170"/>
      <c r="B66" s="137"/>
      <c r="C66" s="142" t="s">
        <v>58</v>
      </c>
      <c r="D66" s="141">
        <f t="shared" si="28"/>
        <v>429.43200000000002</v>
      </c>
      <c r="E66" s="141">
        <f t="shared" si="17"/>
        <v>512.024</v>
      </c>
      <c r="F66" s="141">
        <f t="shared" si="18"/>
        <v>815.71199999999999</v>
      </c>
      <c r="G66" s="141">
        <f t="shared" si="19"/>
        <v>1443.5968</v>
      </c>
      <c r="H66" s="141">
        <f t="shared" si="20"/>
        <v>361.45599999999996</v>
      </c>
      <c r="I66" s="141">
        <f t="shared" si="21"/>
        <v>564.91999999999985</v>
      </c>
      <c r="J66" s="141">
        <f t="shared" si="22"/>
        <v>0</v>
      </c>
      <c r="K66" s="141">
        <f t="shared" si="23"/>
        <v>0</v>
      </c>
      <c r="L66" s="141">
        <f t="shared" si="24"/>
        <v>0</v>
      </c>
      <c r="M66" s="141">
        <f t="shared" si="25"/>
        <v>0</v>
      </c>
      <c r="N66" s="141">
        <f t="shared" si="26"/>
        <v>0</v>
      </c>
      <c r="O66" s="141">
        <f t="shared" si="27"/>
        <v>0</v>
      </c>
      <c r="P66" s="141">
        <f t="shared" si="15"/>
        <v>4127.1408000000001</v>
      </c>
      <c r="Q66" s="141">
        <f t="shared" si="16"/>
        <v>343.92840000000001</v>
      </c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T66" s="120"/>
      <c r="AU66" s="120"/>
    </row>
    <row r="67" spans="1:47" ht="30" customHeight="1">
      <c r="A67" s="169"/>
      <c r="B67" s="143"/>
      <c r="C67" s="144" t="s">
        <v>59</v>
      </c>
      <c r="D67" s="141">
        <f t="shared" si="28"/>
        <v>0</v>
      </c>
      <c r="E67" s="141">
        <f t="shared" si="17"/>
        <v>0</v>
      </c>
      <c r="F67" s="141">
        <f t="shared" si="18"/>
        <v>0</v>
      </c>
      <c r="G67" s="141">
        <f t="shared" si="19"/>
        <v>0</v>
      </c>
      <c r="H67" s="141">
        <f t="shared" si="20"/>
        <v>0</v>
      </c>
      <c r="I67" s="141">
        <f t="shared" si="21"/>
        <v>0</v>
      </c>
      <c r="J67" s="141">
        <f t="shared" si="22"/>
        <v>0</v>
      </c>
      <c r="K67" s="141">
        <f t="shared" si="23"/>
        <v>0</v>
      </c>
      <c r="L67" s="141">
        <f t="shared" si="24"/>
        <v>0</v>
      </c>
      <c r="M67" s="145">
        <f t="shared" si="25"/>
        <v>0</v>
      </c>
      <c r="N67" s="141">
        <f t="shared" si="26"/>
        <v>0</v>
      </c>
      <c r="O67" s="141">
        <f t="shared" si="27"/>
        <v>0</v>
      </c>
      <c r="P67" s="141">
        <f t="shared" si="15"/>
        <v>0</v>
      </c>
      <c r="Q67" s="141">
        <f t="shared" si="16"/>
        <v>0</v>
      </c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T67" s="120"/>
      <c r="AU67" s="120"/>
    </row>
    <row r="68" spans="1:47" ht="30" customHeight="1">
      <c r="C68" s="146" t="s">
        <v>271</v>
      </c>
      <c r="D68" s="141">
        <v>31</v>
      </c>
      <c r="E68" s="141">
        <v>31</v>
      </c>
      <c r="F68" s="141">
        <v>31</v>
      </c>
      <c r="G68" s="141">
        <v>31</v>
      </c>
      <c r="H68" s="141">
        <v>31</v>
      </c>
      <c r="I68" s="141">
        <v>31</v>
      </c>
      <c r="J68" s="141">
        <v>31</v>
      </c>
      <c r="K68" s="141">
        <v>331</v>
      </c>
      <c r="L68" s="141">
        <v>31</v>
      </c>
      <c r="M68" s="141">
        <v>30</v>
      </c>
      <c r="N68" s="141">
        <v>30</v>
      </c>
      <c r="O68" s="141">
        <v>30</v>
      </c>
      <c r="P68" s="141">
        <f t="shared" si="15"/>
        <v>669</v>
      </c>
      <c r="Q68" s="141">
        <f t="shared" si="16"/>
        <v>55.75</v>
      </c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T68" s="120"/>
      <c r="AU68" s="120"/>
    </row>
    <row r="69" spans="1:47" ht="30" customHeight="1">
      <c r="C69" s="146" t="s">
        <v>90</v>
      </c>
      <c r="D69" s="141">
        <v>32</v>
      </c>
      <c r="E69" s="141">
        <v>32</v>
      </c>
      <c r="F69" s="141">
        <v>32</v>
      </c>
      <c r="G69" s="141">
        <v>32</v>
      </c>
      <c r="H69" s="141">
        <v>32</v>
      </c>
      <c r="I69" s="141">
        <v>32</v>
      </c>
      <c r="J69" s="141">
        <v>32</v>
      </c>
      <c r="K69" s="141">
        <v>32</v>
      </c>
      <c r="L69" s="141">
        <v>32</v>
      </c>
      <c r="M69" s="141">
        <v>31</v>
      </c>
      <c r="N69" s="141">
        <v>31</v>
      </c>
      <c r="O69" s="141">
        <v>31</v>
      </c>
      <c r="P69" s="141">
        <f t="shared" si="15"/>
        <v>381</v>
      </c>
      <c r="Q69" s="141">
        <f t="shared" si="16"/>
        <v>31.75</v>
      </c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T69" s="120"/>
      <c r="AU69" s="120"/>
    </row>
    <row r="70" spans="1:47" ht="30" customHeight="1">
      <c r="C70" s="146" t="s">
        <v>268</v>
      </c>
      <c r="D70" s="214">
        <f>SUM(D52:D67)</f>
        <v>2516.1448399999999</v>
      </c>
      <c r="E70" s="214">
        <f t="shared" ref="E70:O70" si="29">SUM(E52:E67)</f>
        <v>2968.9023799999995</v>
      </c>
      <c r="F70" s="214">
        <f t="shared" si="29"/>
        <v>2777.2606599999999</v>
      </c>
      <c r="G70" s="214">
        <f t="shared" si="29"/>
        <v>5444.3085600000004</v>
      </c>
      <c r="H70" s="214">
        <f t="shared" si="29"/>
        <v>2571.7124600000002</v>
      </c>
      <c r="I70" s="214">
        <f t="shared" si="29"/>
        <v>762.82399999999984</v>
      </c>
      <c r="J70" s="214">
        <f t="shared" si="29"/>
        <v>0</v>
      </c>
      <c r="K70" s="214">
        <f t="shared" si="29"/>
        <v>0</v>
      </c>
      <c r="L70" s="214">
        <f t="shared" si="29"/>
        <v>0</v>
      </c>
      <c r="M70" s="214">
        <f t="shared" si="29"/>
        <v>0</v>
      </c>
      <c r="N70" s="214">
        <f t="shared" si="29"/>
        <v>0</v>
      </c>
      <c r="O70" s="214">
        <f t="shared" si="29"/>
        <v>0</v>
      </c>
      <c r="P70" s="141">
        <f t="shared" si="15"/>
        <v>17041.152900000001</v>
      </c>
      <c r="Q70" s="141">
        <f t="shared" si="16"/>
        <v>1420.0960750000002</v>
      </c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T70" s="120"/>
      <c r="AU70" s="120"/>
    </row>
    <row r="71" spans="1:47" ht="30" customHeight="1">
      <c r="C71" s="146" t="s">
        <v>91</v>
      </c>
      <c r="D71" s="215">
        <f>'สรุปการคำนวณ ปีฐาน'!$G$26</f>
        <v>1535.1501100000003</v>
      </c>
      <c r="E71" s="215">
        <f>'สรุปการคำนวณ ปีฐาน'!$I$26</f>
        <v>4682.7235550000005</v>
      </c>
      <c r="F71" s="215">
        <f>'สรุปการคำนวณ ปีฐาน'!$K$26</f>
        <v>741.22862000000009</v>
      </c>
      <c r="G71" s="215">
        <f>'สรุปการคำนวณ ปีฐาน'!$M$26</f>
        <v>2519.3013680000004</v>
      </c>
      <c r="H71" s="215">
        <f>'สรุปการคำนวณ ปีฐาน'!$O$26</f>
        <v>3174.9645320000004</v>
      </c>
      <c r="I71" s="215">
        <f>'สรุปการคำนวณ ปีฐาน'!$Q$26</f>
        <v>3102.1587019999997</v>
      </c>
      <c r="J71" s="215">
        <f>'สรุปการคำนวณ ปีฐาน'!$S$26</f>
        <v>5134.367694999999</v>
      </c>
      <c r="K71" s="215">
        <f>'สรุปการคำนวณ ปีฐาน'!$U$26</f>
        <v>4956.7804669999996</v>
      </c>
      <c r="L71" s="215">
        <f>'สรุปการคำนวณ ปีฐาน'!$W$26</f>
        <v>2348.318741</v>
      </c>
      <c r="M71" s="215">
        <f>'สรุปการคำนวณ ปีฐาน'!$Y$26</f>
        <v>5878.4026199999998</v>
      </c>
      <c r="N71" s="215">
        <f>'สรุปการคำนวณ ปีฐาน'!$AA$26</f>
        <v>3562.2137399999997</v>
      </c>
      <c r="O71" s="216">
        <f>'สรุปการคำนวณ ปีฐาน'!$AC$26</f>
        <v>3130.3748400000004</v>
      </c>
      <c r="P71" s="141">
        <f t="shared" si="15"/>
        <v>40765.984989999997</v>
      </c>
      <c r="Q71" s="141">
        <f t="shared" si="16"/>
        <v>3397.1654158333331</v>
      </c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T71" s="120"/>
      <c r="AU71" s="120"/>
    </row>
    <row r="72" spans="1:47" ht="30" customHeight="1">
      <c r="C72" s="146" t="s">
        <v>269</v>
      </c>
      <c r="D72" s="141">
        <f>D70-D71</f>
        <v>980.99472999999966</v>
      </c>
      <c r="E72" s="141">
        <f t="shared" ref="E72:Q72" si="30">E70-E71</f>
        <v>-1713.8211750000009</v>
      </c>
      <c r="F72" s="141">
        <f t="shared" si="30"/>
        <v>2036.0320399999998</v>
      </c>
      <c r="G72" s="141">
        <f t="shared" si="30"/>
        <v>2925.007192</v>
      </c>
      <c r="H72" s="141">
        <f t="shared" si="30"/>
        <v>-603.25207200000023</v>
      </c>
      <c r="I72" s="141">
        <f t="shared" si="30"/>
        <v>-2339.3347020000001</v>
      </c>
      <c r="J72" s="141">
        <f t="shared" si="30"/>
        <v>-5134.367694999999</v>
      </c>
      <c r="K72" s="141">
        <f t="shared" si="30"/>
        <v>-4956.7804669999996</v>
      </c>
      <c r="L72" s="141">
        <f t="shared" si="30"/>
        <v>-2348.318741</v>
      </c>
      <c r="M72" s="141">
        <f t="shared" si="30"/>
        <v>-5878.4026199999998</v>
      </c>
      <c r="N72" s="141">
        <f t="shared" si="30"/>
        <v>-3562.2137399999997</v>
      </c>
      <c r="O72" s="141">
        <f t="shared" si="30"/>
        <v>-3130.3748400000004</v>
      </c>
      <c r="P72" s="141">
        <f t="shared" si="30"/>
        <v>-23724.832089999996</v>
      </c>
      <c r="Q72" s="141">
        <f t="shared" si="30"/>
        <v>-1977.0693408333329</v>
      </c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T72" s="120"/>
      <c r="AU72" s="120"/>
    </row>
    <row r="73" spans="1:47" ht="30" customHeight="1">
      <c r="C73" s="146" t="s">
        <v>92</v>
      </c>
      <c r="D73" s="147">
        <f>D72*100/D71</f>
        <v>63.902202371597362</v>
      </c>
      <c r="E73" s="147">
        <f t="shared" ref="E73:Q73" si="31">E72*100/E71</f>
        <v>-36.598811671683251</v>
      </c>
      <c r="F73" s="147">
        <f t="shared" si="31"/>
        <v>274.68340874371518</v>
      </c>
      <c r="G73" s="147">
        <f t="shared" si="31"/>
        <v>116.10390202431707</v>
      </c>
      <c r="H73" s="147">
        <f t="shared" si="31"/>
        <v>-19.000277512391438</v>
      </c>
      <c r="I73" s="147">
        <f t="shared" si="31"/>
        <v>-75.40989764617143</v>
      </c>
      <c r="J73" s="147">
        <f t="shared" si="31"/>
        <v>-100</v>
      </c>
      <c r="K73" s="147">
        <f t="shared" si="31"/>
        <v>-100</v>
      </c>
      <c r="L73" s="147">
        <f t="shared" si="31"/>
        <v>-100</v>
      </c>
      <c r="M73" s="147">
        <f t="shared" si="31"/>
        <v>-100</v>
      </c>
      <c r="N73" s="147">
        <f t="shared" si="31"/>
        <v>-100</v>
      </c>
      <c r="O73" s="147">
        <f t="shared" si="31"/>
        <v>-100</v>
      </c>
      <c r="P73" s="147">
        <f t="shared" si="31"/>
        <v>-58.197617684988508</v>
      </c>
      <c r="Q73" s="147">
        <f t="shared" si="31"/>
        <v>-58.197617684988501</v>
      </c>
    </row>
    <row r="74" spans="1:47" ht="30" customHeight="1">
      <c r="C74" s="146" t="s">
        <v>267</v>
      </c>
      <c r="D74" s="214">
        <f>D70/D68</f>
        <v>81.165962580645157</v>
      </c>
      <c r="E74" s="214">
        <f t="shared" ref="E74:O74" si="32">E70/E68</f>
        <v>95.771044516129024</v>
      </c>
      <c r="F74" s="214">
        <f t="shared" si="32"/>
        <v>89.589053548387099</v>
      </c>
      <c r="G74" s="214">
        <f t="shared" si="32"/>
        <v>175.62285677419356</v>
      </c>
      <c r="H74" s="214">
        <f t="shared" si="32"/>
        <v>82.958466451612907</v>
      </c>
      <c r="I74" s="214">
        <f t="shared" si="32"/>
        <v>24.607225806451609</v>
      </c>
      <c r="J74" s="214">
        <f t="shared" si="32"/>
        <v>0</v>
      </c>
      <c r="K74" s="214">
        <f t="shared" si="32"/>
        <v>0</v>
      </c>
      <c r="L74" s="214">
        <f t="shared" si="32"/>
        <v>0</v>
      </c>
      <c r="M74" s="214">
        <f t="shared" si="32"/>
        <v>0</v>
      </c>
      <c r="N74" s="214">
        <f t="shared" si="32"/>
        <v>0</v>
      </c>
      <c r="O74" s="214">
        <f t="shared" si="32"/>
        <v>0</v>
      </c>
      <c r="P74" s="141">
        <f>SUM(D74:O74)</f>
        <v>549.71460967741939</v>
      </c>
      <c r="Q74" s="141">
        <f>AVERAGE(D74:O74)</f>
        <v>45.809550806451618</v>
      </c>
    </row>
    <row r="75" spans="1:47" ht="30" customHeight="1">
      <c r="C75" s="146" t="s">
        <v>93</v>
      </c>
      <c r="D75" s="215">
        <f t="shared" ref="D75:O75" si="33">D71/D69</f>
        <v>47.973440937500008</v>
      </c>
      <c r="E75" s="215">
        <f t="shared" si="33"/>
        <v>146.33511109375002</v>
      </c>
      <c r="F75" s="215">
        <f t="shared" si="33"/>
        <v>23.163394375000003</v>
      </c>
      <c r="G75" s="215">
        <f t="shared" si="33"/>
        <v>78.728167750000011</v>
      </c>
      <c r="H75" s="215">
        <f t="shared" si="33"/>
        <v>99.217641625000013</v>
      </c>
      <c r="I75" s="215">
        <f t="shared" si="33"/>
        <v>96.942459437499991</v>
      </c>
      <c r="J75" s="215">
        <f t="shared" si="33"/>
        <v>160.44899046874997</v>
      </c>
      <c r="K75" s="215">
        <f t="shared" si="33"/>
        <v>154.89938959374999</v>
      </c>
      <c r="L75" s="215">
        <f t="shared" si="33"/>
        <v>73.384960656250001</v>
      </c>
      <c r="M75" s="215">
        <f t="shared" si="33"/>
        <v>189.62589096774192</v>
      </c>
      <c r="N75" s="215">
        <f t="shared" si="33"/>
        <v>114.91012064516129</v>
      </c>
      <c r="O75" s="215">
        <f t="shared" si="33"/>
        <v>100.97983354838711</v>
      </c>
      <c r="P75" s="141">
        <f>SUM(D75:O75)</f>
        <v>1286.6094010987904</v>
      </c>
      <c r="Q75" s="141">
        <f>AVERAGE(D75:O75)</f>
        <v>107.21745009156587</v>
      </c>
    </row>
    <row r="76" spans="1:47" ht="30" customHeight="1">
      <c r="C76" s="146" t="s">
        <v>270</v>
      </c>
      <c r="D76" s="141">
        <f>D74-D75</f>
        <v>33.192521643145149</v>
      </c>
      <c r="E76" s="141">
        <f t="shared" ref="E76:Q76" si="34">E74-E75</f>
        <v>-50.564066577620991</v>
      </c>
      <c r="F76" s="141">
        <f t="shared" si="34"/>
        <v>66.425659173387089</v>
      </c>
      <c r="G76" s="141">
        <f t="shared" si="34"/>
        <v>96.894689024193553</v>
      </c>
      <c r="H76" s="141">
        <f t="shared" si="34"/>
        <v>-16.259175173387106</v>
      </c>
      <c r="I76" s="141">
        <f t="shared" si="34"/>
        <v>-72.335233631048382</v>
      </c>
      <c r="J76" s="141">
        <f t="shared" si="34"/>
        <v>-160.44899046874997</v>
      </c>
      <c r="K76" s="141">
        <f t="shared" si="34"/>
        <v>-154.89938959374999</v>
      </c>
      <c r="L76" s="141">
        <f t="shared" si="34"/>
        <v>-73.384960656250001</v>
      </c>
      <c r="M76" s="141">
        <f t="shared" si="34"/>
        <v>-189.62589096774192</v>
      </c>
      <c r="N76" s="141">
        <f t="shared" si="34"/>
        <v>-114.91012064516129</v>
      </c>
      <c r="O76" s="141">
        <f t="shared" si="34"/>
        <v>-100.97983354838711</v>
      </c>
      <c r="P76" s="141">
        <f t="shared" si="34"/>
        <v>-736.894791421371</v>
      </c>
      <c r="Q76" s="141">
        <f t="shared" si="34"/>
        <v>-61.407899285114247</v>
      </c>
      <c r="R76" s="119"/>
      <c r="S76" s="119"/>
      <c r="T76" s="119"/>
      <c r="U76" s="119"/>
      <c r="V76" s="119"/>
      <c r="W76" s="119"/>
      <c r="X76" s="119"/>
      <c r="Y76" s="119"/>
      <c r="Z76" s="119"/>
    </row>
    <row r="77" spans="1:47" ht="30" customHeight="1">
      <c r="C77" s="146" t="s">
        <v>94</v>
      </c>
      <c r="D77" s="141">
        <f>D76*100/D75</f>
        <v>69.189370190035987</v>
      </c>
      <c r="E77" s="141">
        <f t="shared" ref="E77:Q77" si="35">E76*100/E75</f>
        <v>-34.553612048189152</v>
      </c>
      <c r="F77" s="141">
        <f t="shared" si="35"/>
        <v>286.76997031609307</v>
      </c>
      <c r="G77" s="141">
        <f t="shared" si="35"/>
        <v>123.07499563800472</v>
      </c>
      <c r="H77" s="141">
        <f t="shared" si="35"/>
        <v>-16.387383238597618</v>
      </c>
      <c r="I77" s="141">
        <f t="shared" si="35"/>
        <v>-74.616668537983415</v>
      </c>
      <c r="J77" s="141">
        <f t="shared" si="35"/>
        <v>-100</v>
      </c>
      <c r="K77" s="141">
        <f t="shared" si="35"/>
        <v>-100</v>
      </c>
      <c r="L77" s="141">
        <f t="shared" si="35"/>
        <v>-100</v>
      </c>
      <c r="M77" s="141">
        <f t="shared" si="35"/>
        <v>-99.999999999999986</v>
      </c>
      <c r="N77" s="141">
        <f t="shared" si="35"/>
        <v>-100</v>
      </c>
      <c r="O77" s="141">
        <f t="shared" si="35"/>
        <v>-100</v>
      </c>
      <c r="P77" s="141">
        <f t="shared" si="35"/>
        <v>-57.274165010145893</v>
      </c>
      <c r="Q77" s="141">
        <f t="shared" si="35"/>
        <v>-57.274165010145886</v>
      </c>
    </row>
    <row r="78" spans="1:47" ht="30" customHeight="1">
      <c r="G78" s="120"/>
      <c r="K78" s="120"/>
    </row>
    <row r="79" spans="1:47" ht="30" customHeight="1">
      <c r="D79" s="123"/>
      <c r="E79" s="123"/>
      <c r="F79" s="123"/>
      <c r="H79" s="123"/>
      <c r="I79" s="123"/>
      <c r="J79" s="125"/>
      <c r="K79" s="123"/>
      <c r="L79" s="123"/>
      <c r="M79" s="123"/>
      <c r="N79" s="123"/>
      <c r="P79" s="123"/>
      <c r="Q79" s="123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T79" s="120"/>
      <c r="AU79" s="120"/>
    </row>
    <row r="80" spans="1:47" ht="30" customHeight="1">
      <c r="D80" s="123"/>
      <c r="E80" s="123"/>
      <c r="F80" s="123"/>
      <c r="H80" s="123"/>
      <c r="I80" s="123"/>
      <c r="J80" s="125"/>
      <c r="K80" s="123"/>
      <c r="L80" s="123"/>
      <c r="M80" s="123"/>
      <c r="N80" s="123"/>
      <c r="P80" s="123"/>
      <c r="Q80" s="123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T80" s="120"/>
      <c r="AU80" s="120"/>
    </row>
    <row r="81" spans="1:47" ht="30" customHeight="1">
      <c r="D81" s="123"/>
      <c r="E81" s="123"/>
      <c r="F81" s="123"/>
      <c r="H81" s="123"/>
      <c r="I81" s="123"/>
      <c r="J81" s="123"/>
      <c r="K81" s="123"/>
      <c r="L81" s="123"/>
      <c r="M81" s="123"/>
      <c r="N81" s="123"/>
      <c r="P81" s="123"/>
      <c r="Q81" s="123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T81" s="120"/>
      <c r="AU81" s="120"/>
    </row>
    <row r="82" spans="1:47" ht="30" customHeight="1">
      <c r="D82" s="123"/>
      <c r="E82" s="123"/>
      <c r="F82" s="123"/>
      <c r="H82" s="123"/>
      <c r="I82" s="123"/>
      <c r="J82" s="123"/>
      <c r="K82" s="123"/>
      <c r="L82" s="123"/>
      <c r="M82" s="123"/>
      <c r="N82" s="123"/>
      <c r="O82" s="124"/>
      <c r="P82" s="123"/>
      <c r="Q82" s="123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T82" s="120"/>
      <c r="AU82" s="120"/>
    </row>
    <row r="83" spans="1:47" ht="30" customHeight="1">
      <c r="D83" s="123"/>
      <c r="E83" s="123"/>
      <c r="F83" s="123"/>
      <c r="H83" s="123"/>
      <c r="I83" s="123"/>
      <c r="J83" s="123"/>
      <c r="K83" s="123"/>
      <c r="L83" s="123"/>
      <c r="M83" s="123"/>
      <c r="N83" s="123"/>
      <c r="O83" s="124"/>
      <c r="P83" s="123"/>
      <c r="Q83" s="123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T83" s="120"/>
      <c r="AU83" s="120"/>
    </row>
    <row r="84" spans="1:47" ht="30" customHeight="1">
      <c r="D84" s="123"/>
      <c r="E84" s="123"/>
      <c r="F84" s="123"/>
      <c r="H84" s="123"/>
      <c r="I84" s="123"/>
      <c r="J84" s="123"/>
      <c r="K84" s="123"/>
      <c r="L84" s="123"/>
      <c r="M84" s="123"/>
      <c r="N84" s="123"/>
      <c r="O84" s="124"/>
      <c r="P84" s="123"/>
      <c r="Q84" s="123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T84" s="120"/>
      <c r="AU84" s="120"/>
    </row>
    <row r="85" spans="1:47" ht="30" customHeight="1">
      <c r="D85" s="123"/>
      <c r="E85" s="123"/>
      <c r="F85" s="123"/>
      <c r="H85" s="123"/>
      <c r="I85" s="123"/>
      <c r="J85" s="123"/>
      <c r="K85" s="123"/>
      <c r="L85" s="123"/>
      <c r="M85" s="123"/>
      <c r="N85" s="123"/>
      <c r="O85" s="124"/>
      <c r="P85" s="123"/>
      <c r="Q85" s="123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T85" s="120"/>
      <c r="AU85" s="120"/>
    </row>
    <row r="86" spans="1:47" ht="30" customHeight="1">
      <c r="D86" s="123"/>
      <c r="E86" s="123"/>
      <c r="F86" s="123"/>
      <c r="H86" s="123"/>
      <c r="I86" s="123"/>
      <c r="J86" s="123"/>
      <c r="K86" s="123"/>
      <c r="L86" s="123"/>
      <c r="M86" s="123"/>
      <c r="N86" s="123"/>
      <c r="O86" s="124"/>
      <c r="P86" s="123"/>
      <c r="Q86" s="123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T86" s="120"/>
      <c r="AU86" s="120"/>
    </row>
    <row r="87" spans="1:47" ht="30" customHeight="1">
      <c r="D87" s="123"/>
      <c r="E87" s="123"/>
      <c r="F87" s="123"/>
      <c r="H87" s="123"/>
      <c r="I87" s="123"/>
      <c r="J87" s="123"/>
      <c r="K87" s="123"/>
      <c r="L87" s="123"/>
      <c r="M87" s="123"/>
      <c r="N87" s="123"/>
      <c r="O87" s="124"/>
      <c r="P87" s="123"/>
      <c r="Q87" s="123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T87" s="120"/>
      <c r="AU87" s="120"/>
    </row>
    <row r="88" spans="1:47" ht="30" customHeight="1">
      <c r="D88" s="123"/>
      <c r="E88" s="123"/>
      <c r="F88" s="123"/>
      <c r="H88" s="123"/>
      <c r="I88" s="123"/>
      <c r="J88" s="123"/>
      <c r="K88" s="123"/>
      <c r="L88" s="123"/>
      <c r="M88" s="123"/>
      <c r="N88" s="123"/>
      <c r="O88" s="124"/>
      <c r="P88" s="123"/>
      <c r="Q88" s="123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T88" s="120"/>
      <c r="AU88" s="120"/>
    </row>
    <row r="89" spans="1:47" ht="30" customHeight="1">
      <c r="C89" s="123"/>
      <c r="D89" s="123"/>
      <c r="E89" s="123"/>
      <c r="F89" s="123"/>
      <c r="H89" s="123"/>
      <c r="I89" s="123"/>
      <c r="J89" s="123"/>
      <c r="K89" s="123"/>
      <c r="L89" s="123"/>
      <c r="M89" s="123"/>
      <c r="N89" s="123"/>
      <c r="O89" s="124"/>
      <c r="P89" s="123"/>
      <c r="Q89" s="123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T89" s="120"/>
      <c r="AU89" s="120"/>
    </row>
    <row r="90" spans="1:47" ht="30" customHeight="1">
      <c r="C90" s="123"/>
      <c r="D90" s="123"/>
      <c r="E90" s="123"/>
      <c r="F90" s="123"/>
      <c r="H90" s="123"/>
      <c r="I90" s="123"/>
      <c r="J90" s="123"/>
      <c r="K90" s="123"/>
      <c r="L90" s="123"/>
      <c r="M90" s="123"/>
      <c r="N90" s="123"/>
      <c r="O90" s="124"/>
      <c r="P90" s="123"/>
      <c r="Q90" s="123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T90" s="120"/>
      <c r="AU90" s="120"/>
    </row>
    <row r="91" spans="1:47" ht="30" customHeight="1">
      <c r="C91" s="123"/>
      <c r="D91" s="123"/>
      <c r="E91" s="123"/>
      <c r="F91" s="123"/>
      <c r="H91" s="123"/>
      <c r="I91" s="123"/>
      <c r="J91" s="123"/>
      <c r="K91" s="123"/>
      <c r="L91" s="123"/>
      <c r="M91" s="123"/>
      <c r="N91" s="123"/>
      <c r="O91" s="124"/>
      <c r="P91" s="123"/>
      <c r="Q91" s="123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T91" s="120"/>
      <c r="AU91" s="120"/>
    </row>
    <row r="92" spans="1:47" ht="30" customHeight="1">
      <c r="C92" s="123"/>
      <c r="D92" s="123"/>
      <c r="E92" s="123"/>
      <c r="F92" s="123"/>
      <c r="H92" s="123"/>
      <c r="I92" s="123"/>
      <c r="J92" s="123"/>
      <c r="K92" s="123"/>
      <c r="L92" s="123"/>
      <c r="M92" s="123"/>
      <c r="N92" s="123"/>
      <c r="O92" s="124"/>
      <c r="P92" s="123"/>
      <c r="Q92" s="123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T92" s="120"/>
      <c r="AU92" s="120"/>
    </row>
    <row r="93" spans="1:47" ht="30" customHeight="1">
      <c r="C93" s="123"/>
      <c r="D93" s="123"/>
      <c r="E93" s="123"/>
      <c r="F93" s="123"/>
      <c r="H93" s="123"/>
      <c r="I93" s="123"/>
      <c r="J93" s="123"/>
      <c r="K93" s="123"/>
      <c r="L93" s="123"/>
      <c r="M93" s="123"/>
      <c r="N93" s="123"/>
      <c r="O93" s="124"/>
      <c r="P93" s="123"/>
      <c r="Q93" s="123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T93" s="120"/>
      <c r="AU93" s="120"/>
    </row>
    <row r="94" spans="1:47" ht="30" customHeight="1"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T94" s="120"/>
      <c r="AU94" s="120"/>
    </row>
    <row r="95" spans="1:47" s="149" customFormat="1" ht="30" customHeight="1">
      <c r="A95" s="261" t="s">
        <v>260</v>
      </c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148"/>
      <c r="AG95" s="148"/>
      <c r="AH95" s="148"/>
      <c r="AI95" s="148"/>
      <c r="AJ95" s="148"/>
      <c r="AK95" s="148"/>
      <c r="AL95" s="148"/>
    </row>
    <row r="96" spans="1:47" s="149" customFormat="1" ht="30" customHeight="1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148"/>
      <c r="AG96" s="148"/>
      <c r="AH96" s="148"/>
      <c r="AI96" s="148"/>
      <c r="AJ96" s="148"/>
      <c r="AK96" s="148"/>
      <c r="AL96" s="148"/>
      <c r="AM96" s="150"/>
      <c r="AN96" s="150"/>
      <c r="AO96" s="150"/>
      <c r="AP96" s="150"/>
      <c r="AQ96" s="150"/>
      <c r="AR96" s="150"/>
      <c r="AT96" s="150"/>
      <c r="AU96" s="150"/>
    </row>
    <row r="97" spans="1:47" s="159" customFormat="1" ht="50.1" customHeight="1">
      <c r="A97" s="152" t="s">
        <v>261</v>
      </c>
      <c r="B97" s="152"/>
      <c r="C97" s="153"/>
      <c r="D97" s="154"/>
      <c r="E97" s="154"/>
      <c r="F97" s="154"/>
      <c r="G97" s="154"/>
      <c r="H97" s="154"/>
      <c r="I97" s="154"/>
      <c r="J97" s="154"/>
      <c r="K97" s="154"/>
      <c r="L97" s="154"/>
      <c r="M97" s="155"/>
      <c r="N97" s="171"/>
      <c r="O97" s="153" t="s">
        <v>273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7"/>
      <c r="AG97" s="157"/>
      <c r="AH97" s="157"/>
      <c r="AI97" s="157"/>
      <c r="AJ97" s="157"/>
      <c r="AK97" s="157"/>
      <c r="AL97" s="157"/>
      <c r="AM97" s="158"/>
      <c r="AN97" s="158"/>
      <c r="AO97" s="158"/>
      <c r="AP97" s="158"/>
      <c r="AQ97" s="158"/>
      <c r="AR97" s="158"/>
      <c r="AT97" s="158"/>
      <c r="AU97" s="158"/>
    </row>
    <row r="98" spans="1:47" s="159" customFormat="1" ht="50.1" customHeight="1">
      <c r="A98" s="160" t="s">
        <v>95</v>
      </c>
      <c r="B98" s="160"/>
      <c r="C98" s="208" t="s">
        <v>281</v>
      </c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71"/>
      <c r="O98" s="160" t="s">
        <v>95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62"/>
      <c r="AG98" s="162"/>
      <c r="AH98" s="162"/>
      <c r="AI98" s="157"/>
      <c r="AJ98" s="157"/>
      <c r="AK98" s="157"/>
      <c r="AL98" s="157"/>
      <c r="AM98" s="158"/>
      <c r="AN98" s="158"/>
      <c r="AO98" s="158"/>
      <c r="AP98" s="158"/>
      <c r="AQ98" s="158"/>
      <c r="AR98" s="158"/>
      <c r="AT98" s="158"/>
      <c r="AU98" s="158"/>
    </row>
    <row r="99" spans="1:47" s="159" customFormat="1" ht="57" customHeight="1">
      <c r="A99" s="262" t="s">
        <v>96</v>
      </c>
      <c r="B99" s="262"/>
      <c r="C99" s="209" t="s">
        <v>282</v>
      </c>
      <c r="D99" s="163"/>
      <c r="E99" s="161"/>
      <c r="F99" s="161"/>
      <c r="G99" s="161"/>
      <c r="H99" s="161"/>
      <c r="I99" s="161"/>
      <c r="J99" s="161"/>
      <c r="K99" s="161"/>
      <c r="L99" s="161"/>
      <c r="M99" s="156"/>
      <c r="N99" s="171"/>
      <c r="O99" s="262" t="s">
        <v>96</v>
      </c>
      <c r="P99" s="262"/>
      <c r="Q99" s="262"/>
      <c r="R99" s="16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62"/>
      <c r="AG99" s="162"/>
      <c r="AH99" s="162"/>
      <c r="AI99" s="157"/>
      <c r="AJ99" s="157"/>
      <c r="AK99" s="157"/>
      <c r="AL99" s="157"/>
      <c r="AM99" s="158"/>
      <c r="AN99" s="158"/>
      <c r="AO99" s="158"/>
      <c r="AP99" s="158"/>
      <c r="AQ99" s="158"/>
      <c r="AR99" s="158"/>
      <c r="AT99" s="158"/>
      <c r="AU99" s="158"/>
    </row>
    <row r="100" spans="1:47" s="159" customFormat="1" ht="50.1" customHeight="1">
      <c r="A100" s="160" t="s">
        <v>97</v>
      </c>
      <c r="B100" s="164"/>
      <c r="C100" s="209" t="s">
        <v>284</v>
      </c>
      <c r="D100" s="161"/>
      <c r="E100" s="161"/>
      <c r="F100" s="161"/>
      <c r="G100" s="161"/>
      <c r="H100" s="161"/>
      <c r="I100" s="161"/>
      <c r="J100" s="161"/>
      <c r="K100" s="161"/>
      <c r="L100" s="161"/>
      <c r="M100" s="156"/>
      <c r="N100" s="171"/>
      <c r="O100" s="164" t="s">
        <v>97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62"/>
      <c r="AG100" s="162"/>
      <c r="AH100" s="162"/>
      <c r="AM100" s="158"/>
      <c r="AN100" s="158"/>
      <c r="AO100" s="158"/>
      <c r="AP100" s="158"/>
      <c r="AQ100" s="158"/>
      <c r="AR100" s="158"/>
      <c r="AT100" s="158"/>
      <c r="AU100" s="158"/>
    </row>
    <row r="101" spans="1:47" s="159" customFormat="1" ht="50.1" customHeight="1">
      <c r="A101" s="152" t="s">
        <v>262</v>
      </c>
      <c r="B101" s="153"/>
      <c r="C101" s="153"/>
      <c r="D101" s="153"/>
      <c r="E101" s="154"/>
      <c r="F101" s="154"/>
      <c r="G101" s="154"/>
      <c r="H101" s="154"/>
      <c r="I101" s="154"/>
      <c r="J101" s="154"/>
      <c r="K101" s="154"/>
      <c r="L101" s="154"/>
      <c r="M101" s="155"/>
      <c r="N101" s="171"/>
      <c r="O101" s="153" t="s">
        <v>274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62"/>
      <c r="AG101" s="162"/>
      <c r="AH101" s="162"/>
      <c r="AM101" s="158"/>
      <c r="AN101" s="158"/>
      <c r="AO101" s="158"/>
      <c r="AP101" s="158"/>
      <c r="AQ101" s="158"/>
      <c r="AR101" s="158"/>
      <c r="AT101" s="158"/>
      <c r="AU101" s="158"/>
    </row>
    <row r="102" spans="1:47" s="159" customFormat="1" ht="50.1" customHeight="1">
      <c r="A102" s="160" t="s">
        <v>95</v>
      </c>
      <c r="B102" s="160"/>
      <c r="C102" s="209" t="s">
        <v>283</v>
      </c>
      <c r="D102" s="164"/>
      <c r="E102" s="161"/>
      <c r="F102" s="161"/>
      <c r="G102" s="161"/>
      <c r="H102" s="161"/>
      <c r="I102" s="161"/>
      <c r="J102" s="161"/>
      <c r="K102" s="161"/>
      <c r="L102" s="161"/>
      <c r="M102" s="156"/>
      <c r="N102" s="171"/>
      <c r="O102" s="160" t="s">
        <v>95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62"/>
      <c r="AG102" s="162"/>
      <c r="AH102" s="162"/>
      <c r="AM102" s="158"/>
      <c r="AN102" s="158"/>
      <c r="AO102" s="158"/>
      <c r="AP102" s="158"/>
      <c r="AQ102" s="158"/>
      <c r="AR102" s="158"/>
      <c r="AT102" s="158"/>
      <c r="AU102" s="158"/>
    </row>
    <row r="103" spans="1:47" s="159" customFormat="1" ht="50.1" customHeight="1">
      <c r="A103" s="262" t="s">
        <v>96</v>
      </c>
      <c r="B103" s="262"/>
      <c r="C103" s="209" t="s">
        <v>290</v>
      </c>
      <c r="D103" s="163"/>
      <c r="E103" s="161"/>
      <c r="F103" s="161"/>
      <c r="G103" s="161"/>
      <c r="H103" s="161"/>
      <c r="I103" s="161"/>
      <c r="J103" s="161"/>
      <c r="K103" s="161"/>
      <c r="L103" s="161"/>
      <c r="M103" s="156"/>
      <c r="N103" s="171"/>
      <c r="O103" s="262" t="s">
        <v>96</v>
      </c>
      <c r="P103" s="262"/>
      <c r="Q103" s="262"/>
      <c r="R103" s="262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62"/>
      <c r="AG103" s="162"/>
      <c r="AH103" s="162"/>
      <c r="AM103" s="158"/>
      <c r="AN103" s="158"/>
      <c r="AO103" s="158"/>
      <c r="AP103" s="158"/>
      <c r="AQ103" s="158"/>
      <c r="AR103" s="158"/>
      <c r="AT103" s="158"/>
      <c r="AU103" s="158"/>
    </row>
    <row r="104" spans="1:47" s="159" customFormat="1" ht="50.1" customHeight="1">
      <c r="A104" s="160" t="s">
        <v>97</v>
      </c>
      <c r="B104" s="164"/>
      <c r="C104" s="209" t="s">
        <v>98</v>
      </c>
      <c r="D104" s="161"/>
      <c r="E104" s="161"/>
      <c r="F104" s="161"/>
      <c r="G104" s="161"/>
      <c r="H104" s="161"/>
      <c r="I104" s="161"/>
      <c r="J104" s="161"/>
      <c r="K104" s="161"/>
      <c r="L104" s="161"/>
      <c r="M104" s="156"/>
      <c r="N104" s="171"/>
      <c r="O104" s="164" t="s">
        <v>97</v>
      </c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62"/>
      <c r="AG104" s="162"/>
      <c r="AH104" s="162"/>
      <c r="AM104" s="158"/>
      <c r="AN104" s="158"/>
      <c r="AO104" s="158"/>
      <c r="AP104" s="158"/>
      <c r="AQ104" s="158"/>
      <c r="AR104" s="158"/>
      <c r="AT104" s="158"/>
      <c r="AU104" s="158"/>
    </row>
    <row r="105" spans="1:47" s="159" customFormat="1" ht="50.1" customHeight="1">
      <c r="A105" s="152" t="s">
        <v>263</v>
      </c>
      <c r="B105" s="153"/>
      <c r="C105" s="153"/>
      <c r="D105" s="153"/>
      <c r="E105" s="154"/>
      <c r="F105" s="154"/>
      <c r="G105" s="154"/>
      <c r="H105" s="154"/>
      <c r="I105" s="154"/>
      <c r="J105" s="154"/>
      <c r="K105" s="154"/>
      <c r="L105" s="154"/>
      <c r="M105" s="155"/>
      <c r="N105" s="171"/>
      <c r="O105" s="153" t="s">
        <v>275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62"/>
      <c r="AG105" s="162"/>
      <c r="AH105" s="162"/>
      <c r="AM105" s="158"/>
      <c r="AN105" s="158"/>
      <c r="AO105" s="158"/>
      <c r="AP105" s="158"/>
      <c r="AQ105" s="158"/>
      <c r="AR105" s="158"/>
      <c r="AT105" s="158"/>
      <c r="AU105" s="158"/>
    </row>
    <row r="106" spans="1:47" s="159" customFormat="1" ht="50.1" customHeight="1">
      <c r="A106" s="160" t="s">
        <v>95</v>
      </c>
      <c r="B106" s="160"/>
      <c r="C106" s="209" t="s">
        <v>285</v>
      </c>
      <c r="D106" s="164"/>
      <c r="E106" s="161"/>
      <c r="F106" s="161"/>
      <c r="G106" s="161"/>
      <c r="H106" s="161"/>
      <c r="I106" s="161"/>
      <c r="J106" s="161"/>
      <c r="K106" s="161"/>
      <c r="L106" s="161"/>
      <c r="M106" s="156"/>
      <c r="N106" s="171"/>
      <c r="O106" s="160" t="s">
        <v>95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62"/>
      <c r="AG106" s="162"/>
      <c r="AH106" s="162"/>
      <c r="AM106" s="158"/>
      <c r="AN106" s="158"/>
      <c r="AO106" s="158"/>
      <c r="AP106" s="158"/>
      <c r="AQ106" s="158"/>
      <c r="AR106" s="158"/>
      <c r="AT106" s="158"/>
      <c r="AU106" s="158"/>
    </row>
    <row r="107" spans="1:47" s="159" customFormat="1" ht="50.1" customHeight="1">
      <c r="A107" s="262" t="s">
        <v>96</v>
      </c>
      <c r="B107" s="262"/>
      <c r="C107" s="209" t="s">
        <v>286</v>
      </c>
      <c r="D107" s="163"/>
      <c r="E107" s="161"/>
      <c r="F107" s="161"/>
      <c r="G107" s="161"/>
      <c r="H107" s="161"/>
      <c r="I107" s="161"/>
      <c r="J107" s="161"/>
      <c r="K107" s="161"/>
      <c r="L107" s="161"/>
      <c r="M107" s="156"/>
      <c r="N107" s="171"/>
      <c r="O107" s="262" t="s">
        <v>96</v>
      </c>
      <c r="P107" s="262"/>
      <c r="Q107" s="262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62"/>
      <c r="AG107" s="162"/>
      <c r="AH107" s="162"/>
      <c r="AM107" s="158"/>
      <c r="AN107" s="158"/>
      <c r="AO107" s="158"/>
      <c r="AP107" s="158"/>
      <c r="AQ107" s="158"/>
      <c r="AR107" s="158"/>
      <c r="AT107" s="158"/>
      <c r="AU107" s="158"/>
    </row>
    <row r="108" spans="1:47" s="159" customFormat="1" ht="50.1" customHeight="1">
      <c r="A108" s="160" t="s">
        <v>97</v>
      </c>
      <c r="B108" s="164"/>
      <c r="C108" s="209" t="s">
        <v>284</v>
      </c>
      <c r="D108" s="161"/>
      <c r="E108" s="161"/>
      <c r="F108" s="161"/>
      <c r="G108" s="161"/>
      <c r="H108" s="161"/>
      <c r="I108" s="161"/>
      <c r="J108" s="161"/>
      <c r="K108" s="161"/>
      <c r="L108" s="161"/>
      <c r="M108" s="156"/>
      <c r="N108" s="171"/>
      <c r="O108" s="164" t="s">
        <v>97</v>
      </c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62"/>
      <c r="AG108" s="162"/>
      <c r="AH108" s="162"/>
      <c r="AM108" s="158"/>
      <c r="AN108" s="158"/>
      <c r="AO108" s="158"/>
      <c r="AP108" s="158"/>
      <c r="AQ108" s="158"/>
      <c r="AR108" s="158"/>
      <c r="AT108" s="158"/>
      <c r="AU108" s="158"/>
    </row>
    <row r="109" spans="1:47" s="159" customFormat="1" ht="50.1" customHeight="1">
      <c r="A109" s="152" t="s">
        <v>265</v>
      </c>
      <c r="B109" s="153"/>
      <c r="C109" s="153"/>
      <c r="D109" s="153"/>
      <c r="E109" s="154"/>
      <c r="F109" s="154"/>
      <c r="G109" s="154"/>
      <c r="H109" s="154"/>
      <c r="I109" s="154"/>
      <c r="J109" s="154"/>
      <c r="K109" s="154"/>
      <c r="L109" s="154"/>
      <c r="M109" s="155"/>
      <c r="N109" s="171"/>
      <c r="O109" s="153" t="s">
        <v>277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62"/>
      <c r="AG109" s="162"/>
      <c r="AH109" s="162"/>
      <c r="AM109" s="158"/>
      <c r="AN109" s="158"/>
      <c r="AO109" s="158"/>
      <c r="AP109" s="158"/>
      <c r="AQ109" s="158"/>
      <c r="AR109" s="158"/>
      <c r="AT109" s="158"/>
      <c r="AU109" s="158"/>
    </row>
    <row r="110" spans="1:47" s="159" customFormat="1" ht="50.1" customHeight="1">
      <c r="A110" s="160" t="s">
        <v>95</v>
      </c>
      <c r="B110" s="160"/>
      <c r="C110" s="209" t="s">
        <v>287</v>
      </c>
      <c r="D110" s="164"/>
      <c r="E110" s="161"/>
      <c r="F110" s="161"/>
      <c r="G110" s="161"/>
      <c r="H110" s="161"/>
      <c r="I110" s="161"/>
      <c r="J110" s="161"/>
      <c r="K110" s="161"/>
      <c r="L110" s="161"/>
      <c r="M110" s="156"/>
      <c r="N110" s="171"/>
      <c r="O110" s="160" t="s">
        <v>95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62"/>
      <c r="AG110" s="162"/>
      <c r="AH110" s="162"/>
      <c r="AM110" s="158"/>
      <c r="AN110" s="158"/>
      <c r="AO110" s="158"/>
      <c r="AP110" s="158"/>
      <c r="AQ110" s="158"/>
      <c r="AR110" s="158"/>
      <c r="AT110" s="158"/>
      <c r="AU110" s="158"/>
    </row>
    <row r="111" spans="1:47" s="159" customFormat="1" ht="50.1" customHeight="1">
      <c r="A111" s="262" t="s">
        <v>96</v>
      </c>
      <c r="B111" s="262"/>
      <c r="C111" s="209" t="s">
        <v>288</v>
      </c>
      <c r="D111" s="163"/>
      <c r="E111" s="161"/>
      <c r="F111" s="161"/>
      <c r="G111" s="161"/>
      <c r="H111" s="161"/>
      <c r="I111" s="161"/>
      <c r="J111" s="161"/>
      <c r="K111" s="161"/>
      <c r="L111" s="161"/>
      <c r="M111" s="156"/>
      <c r="N111" s="171"/>
      <c r="O111" s="262" t="s">
        <v>96</v>
      </c>
      <c r="P111" s="262"/>
      <c r="Q111" s="262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62"/>
      <c r="AG111" s="162"/>
      <c r="AH111" s="162"/>
      <c r="AM111" s="158"/>
      <c r="AN111" s="158"/>
      <c r="AO111" s="158"/>
      <c r="AP111" s="158"/>
      <c r="AQ111" s="158"/>
      <c r="AR111" s="158"/>
      <c r="AT111" s="158"/>
      <c r="AU111" s="158"/>
    </row>
    <row r="112" spans="1:47" s="159" customFormat="1" ht="50.1" customHeight="1">
      <c r="A112" s="160" t="s">
        <v>97</v>
      </c>
      <c r="B112" s="164"/>
      <c r="C112" s="209" t="s">
        <v>284</v>
      </c>
      <c r="D112" s="161"/>
      <c r="E112" s="161"/>
      <c r="F112" s="161"/>
      <c r="G112" s="161"/>
      <c r="H112" s="161"/>
      <c r="I112" s="161"/>
      <c r="J112" s="161"/>
      <c r="K112" s="161"/>
      <c r="L112" s="161"/>
      <c r="M112" s="156"/>
      <c r="N112" s="171"/>
      <c r="O112" s="164" t="s">
        <v>97</v>
      </c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62"/>
      <c r="AG112" s="162"/>
      <c r="AH112" s="162"/>
      <c r="AM112" s="158"/>
      <c r="AN112" s="158"/>
      <c r="AO112" s="158"/>
      <c r="AP112" s="158"/>
      <c r="AQ112" s="158"/>
      <c r="AR112" s="158"/>
      <c r="AT112" s="158"/>
      <c r="AU112" s="158"/>
    </row>
    <row r="113" spans="1:47" s="159" customFormat="1" ht="50.1" customHeight="1">
      <c r="A113" s="152" t="s">
        <v>264</v>
      </c>
      <c r="B113" s="153"/>
      <c r="C113" s="153"/>
      <c r="D113" s="153"/>
      <c r="E113" s="154"/>
      <c r="F113" s="154"/>
      <c r="G113" s="154"/>
      <c r="H113" s="154"/>
      <c r="I113" s="154"/>
      <c r="J113" s="154"/>
      <c r="K113" s="154"/>
      <c r="L113" s="154"/>
      <c r="M113" s="155"/>
      <c r="N113" s="171"/>
      <c r="O113" s="153" t="s">
        <v>276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62"/>
      <c r="AG113" s="162"/>
      <c r="AH113" s="162"/>
      <c r="AM113" s="158"/>
      <c r="AN113" s="158"/>
      <c r="AO113" s="158"/>
      <c r="AP113" s="158"/>
      <c r="AQ113" s="158"/>
      <c r="AR113" s="158"/>
      <c r="AT113" s="158"/>
      <c r="AU113" s="158"/>
    </row>
    <row r="114" spans="1:47" s="159" customFormat="1" ht="50.1" customHeight="1">
      <c r="A114" s="160" t="s">
        <v>95</v>
      </c>
      <c r="B114" s="160"/>
      <c r="C114" s="209" t="s">
        <v>289</v>
      </c>
      <c r="D114" s="164"/>
      <c r="E114" s="161"/>
      <c r="F114" s="161"/>
      <c r="G114" s="161"/>
      <c r="H114" s="161"/>
      <c r="I114" s="161"/>
      <c r="J114" s="161"/>
      <c r="K114" s="161"/>
      <c r="L114" s="161"/>
      <c r="M114" s="156"/>
      <c r="N114" s="171"/>
      <c r="O114" s="160" t="s">
        <v>95</v>
      </c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62"/>
      <c r="AG114" s="162"/>
      <c r="AH114" s="162"/>
      <c r="AM114" s="158"/>
      <c r="AN114" s="158"/>
      <c r="AO114" s="158"/>
      <c r="AP114" s="158"/>
      <c r="AQ114" s="158"/>
      <c r="AR114" s="158"/>
      <c r="AT114" s="158"/>
      <c r="AU114" s="158"/>
    </row>
    <row r="115" spans="1:47" s="159" customFormat="1" ht="50.1" customHeight="1">
      <c r="A115" s="262" t="s">
        <v>96</v>
      </c>
      <c r="B115" s="262"/>
      <c r="C115" s="209" t="s">
        <v>291</v>
      </c>
      <c r="D115" s="161"/>
      <c r="E115" s="161"/>
      <c r="F115" s="161"/>
      <c r="G115" s="161"/>
      <c r="H115" s="161"/>
      <c r="I115" s="161"/>
      <c r="J115" s="161"/>
      <c r="K115" s="161"/>
      <c r="L115" s="161"/>
      <c r="M115" s="156"/>
      <c r="N115" s="171"/>
      <c r="O115" s="262" t="s">
        <v>96</v>
      </c>
      <c r="P115" s="262"/>
      <c r="Q115" s="262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62"/>
      <c r="AG115" s="162"/>
      <c r="AH115" s="162"/>
      <c r="AM115" s="158"/>
      <c r="AN115" s="158"/>
      <c r="AO115" s="158"/>
      <c r="AP115" s="158"/>
      <c r="AQ115" s="158"/>
      <c r="AR115" s="158"/>
      <c r="AT115" s="158"/>
      <c r="AU115" s="158"/>
    </row>
    <row r="116" spans="1:47" s="159" customFormat="1" ht="50.1" customHeight="1">
      <c r="A116" s="160" t="s">
        <v>97</v>
      </c>
      <c r="B116" s="164"/>
      <c r="C116" s="209" t="s">
        <v>284</v>
      </c>
      <c r="D116" s="161"/>
      <c r="E116" s="161"/>
      <c r="F116" s="161"/>
      <c r="G116" s="161"/>
      <c r="H116" s="161"/>
      <c r="I116" s="161"/>
      <c r="J116" s="161"/>
      <c r="K116" s="161"/>
      <c r="L116" s="161"/>
      <c r="M116" s="156"/>
      <c r="N116" s="171"/>
      <c r="O116" s="164" t="s">
        <v>97</v>
      </c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62"/>
      <c r="AG116" s="162"/>
      <c r="AH116" s="162"/>
      <c r="AM116" s="158"/>
      <c r="AN116" s="158"/>
      <c r="AO116" s="158"/>
      <c r="AP116" s="158"/>
      <c r="AQ116" s="158"/>
      <c r="AR116" s="158"/>
      <c r="AT116" s="158"/>
      <c r="AU116" s="158"/>
    </row>
    <row r="117" spans="1:47" s="159" customFormat="1" ht="50.1" customHeight="1">
      <c r="A117" s="152" t="s">
        <v>266</v>
      </c>
      <c r="B117" s="153"/>
      <c r="C117" s="153"/>
      <c r="D117" s="153"/>
      <c r="E117" s="154"/>
      <c r="F117" s="154"/>
      <c r="G117" s="154"/>
      <c r="H117" s="154"/>
      <c r="I117" s="154"/>
      <c r="J117" s="154"/>
      <c r="K117" s="154"/>
      <c r="L117" s="154"/>
      <c r="M117" s="155"/>
      <c r="N117" s="171"/>
      <c r="O117" s="153" t="s">
        <v>278</v>
      </c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62"/>
      <c r="AG117" s="162"/>
      <c r="AH117" s="162"/>
      <c r="AM117" s="158"/>
      <c r="AN117" s="158"/>
      <c r="AO117" s="158"/>
      <c r="AP117" s="158"/>
      <c r="AQ117" s="158"/>
      <c r="AR117" s="158"/>
      <c r="AT117" s="158"/>
      <c r="AU117" s="158"/>
    </row>
    <row r="118" spans="1:47" s="159" customFormat="1" ht="50.1" customHeight="1">
      <c r="A118" s="160" t="s">
        <v>95</v>
      </c>
      <c r="B118" s="160"/>
      <c r="C118" s="209" t="s">
        <v>292</v>
      </c>
      <c r="D118" s="164"/>
      <c r="E118" s="161"/>
      <c r="F118" s="161"/>
      <c r="G118" s="161"/>
      <c r="H118" s="161"/>
      <c r="I118" s="161"/>
      <c r="J118" s="161"/>
      <c r="K118" s="161"/>
      <c r="L118" s="161"/>
      <c r="M118" s="156"/>
      <c r="N118" s="171"/>
      <c r="O118" s="160" t="s">
        <v>95</v>
      </c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62"/>
      <c r="AG118" s="162"/>
      <c r="AH118" s="162"/>
      <c r="AM118" s="158"/>
      <c r="AN118" s="158"/>
      <c r="AO118" s="158"/>
      <c r="AP118" s="158"/>
      <c r="AQ118" s="158"/>
      <c r="AR118" s="158"/>
      <c r="AT118" s="158"/>
      <c r="AU118" s="158"/>
    </row>
    <row r="119" spans="1:47" s="159" customFormat="1" ht="50.1" customHeight="1">
      <c r="A119" s="262" t="s">
        <v>96</v>
      </c>
      <c r="B119" s="262"/>
      <c r="C119" s="209" t="s">
        <v>293</v>
      </c>
      <c r="D119" s="163"/>
      <c r="E119" s="161"/>
      <c r="F119" s="161"/>
      <c r="G119" s="161"/>
      <c r="H119" s="161"/>
      <c r="I119" s="161"/>
      <c r="J119" s="161"/>
      <c r="K119" s="161"/>
      <c r="L119" s="161"/>
      <c r="M119" s="156"/>
      <c r="N119" s="171"/>
      <c r="O119" s="262" t="s">
        <v>96</v>
      </c>
      <c r="P119" s="262"/>
      <c r="Q119" s="262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62"/>
      <c r="AG119" s="162"/>
      <c r="AH119" s="162"/>
      <c r="AM119" s="158"/>
      <c r="AN119" s="158"/>
      <c r="AO119" s="158"/>
      <c r="AP119" s="158"/>
      <c r="AQ119" s="158"/>
      <c r="AR119" s="158"/>
      <c r="AT119" s="158"/>
      <c r="AU119" s="158"/>
    </row>
    <row r="120" spans="1:47" s="159" customFormat="1" ht="50.1" customHeight="1">
      <c r="A120" s="160" t="s">
        <v>97</v>
      </c>
      <c r="B120" s="164"/>
      <c r="C120" s="209" t="s">
        <v>284</v>
      </c>
      <c r="D120" s="161"/>
      <c r="E120" s="165"/>
      <c r="F120" s="165"/>
      <c r="G120" s="161"/>
      <c r="H120" s="161"/>
      <c r="I120" s="161"/>
      <c r="J120" s="161"/>
      <c r="K120" s="161"/>
      <c r="L120" s="161"/>
      <c r="M120" s="156"/>
      <c r="N120" s="171"/>
      <c r="O120" s="164" t="s">
        <v>97</v>
      </c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62"/>
      <c r="AG120" s="162"/>
      <c r="AH120" s="162"/>
      <c r="AM120" s="158"/>
      <c r="AN120" s="158"/>
      <c r="AO120" s="158"/>
      <c r="AP120" s="158"/>
      <c r="AQ120" s="158"/>
      <c r="AR120" s="158"/>
      <c r="AT120" s="158"/>
      <c r="AU120" s="158"/>
    </row>
    <row r="121" spans="1:47" s="149" customFormat="1" ht="30" customHeight="1">
      <c r="A121" s="263" t="s">
        <v>280</v>
      </c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148"/>
      <c r="AG121" s="148"/>
      <c r="AH121" s="148"/>
      <c r="AI121" s="148"/>
      <c r="AJ121" s="148"/>
      <c r="AK121" s="148"/>
      <c r="AL121" s="148"/>
      <c r="AM121" s="150"/>
      <c r="AN121" s="150"/>
      <c r="AO121" s="150"/>
      <c r="AP121" s="150"/>
      <c r="AQ121" s="150"/>
      <c r="AR121" s="150"/>
      <c r="AT121" s="150"/>
      <c r="AU121" s="150"/>
    </row>
    <row r="122" spans="1:47" s="149" customFormat="1" ht="30" customHeight="1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M122" s="150"/>
      <c r="AN122" s="150"/>
      <c r="AO122" s="150"/>
      <c r="AP122" s="150"/>
      <c r="AQ122" s="150"/>
      <c r="AR122" s="150"/>
      <c r="AT122" s="150"/>
      <c r="AU122" s="150"/>
    </row>
    <row r="123" spans="1:47" s="149" customFormat="1" ht="30" customHeight="1">
      <c r="A123" s="263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T123" s="150"/>
      <c r="AU123" s="150"/>
    </row>
  </sheetData>
  <mergeCells count="61">
    <mergeCell ref="A121:AE123"/>
    <mergeCell ref="A111:B111"/>
    <mergeCell ref="O111:Q111"/>
    <mergeCell ref="A115:B115"/>
    <mergeCell ref="O115:Q115"/>
    <mergeCell ref="A119:B119"/>
    <mergeCell ref="O119:Q119"/>
    <mergeCell ref="C49:Q50"/>
    <mergeCell ref="A95:AE96"/>
    <mergeCell ref="A103:B103"/>
    <mergeCell ref="O103:R103"/>
    <mergeCell ref="A107:B107"/>
    <mergeCell ref="O107:Q107"/>
    <mergeCell ref="A99:B99"/>
    <mergeCell ref="O99:Q99"/>
    <mergeCell ref="A2:AE2"/>
    <mergeCell ref="A3:A5"/>
    <mergeCell ref="B3:C5"/>
    <mergeCell ref="D3:D5"/>
    <mergeCell ref="E3:E5"/>
    <mergeCell ref="F3:F5"/>
    <mergeCell ref="G3:AE3"/>
    <mergeCell ref="G4:H4"/>
    <mergeCell ref="I4:J4"/>
    <mergeCell ref="K4:L4"/>
    <mergeCell ref="Y4:Z4"/>
    <mergeCell ref="AA4:AB4"/>
    <mergeCell ref="AC4:AD4"/>
    <mergeCell ref="AE4:AE5"/>
    <mergeCell ref="U4:V4"/>
    <mergeCell ref="W4:X4"/>
    <mergeCell ref="C36:C37"/>
    <mergeCell ref="D36:E37"/>
    <mergeCell ref="F36:G37"/>
    <mergeCell ref="M4:N4"/>
    <mergeCell ref="O4:P4"/>
    <mergeCell ref="B20:C20"/>
    <mergeCell ref="B21:C21"/>
    <mergeCell ref="B22:C22"/>
    <mergeCell ref="B23:C23"/>
    <mergeCell ref="B24:C24"/>
    <mergeCell ref="B25:C25"/>
    <mergeCell ref="B7:C7"/>
    <mergeCell ref="B8:C8"/>
    <mergeCell ref="B9:C9"/>
    <mergeCell ref="B10:C10"/>
    <mergeCell ref="B6:C6"/>
    <mergeCell ref="Q4:R4"/>
    <mergeCell ref="S4:T4"/>
    <mergeCell ref="A26:F26"/>
    <mergeCell ref="B11:C11"/>
    <mergeCell ref="B12:C12"/>
    <mergeCell ref="B13:C13"/>
    <mergeCell ref="B14:C14"/>
    <mergeCell ref="A21:A25"/>
    <mergeCell ref="A6:A19"/>
    <mergeCell ref="B15:C15"/>
    <mergeCell ref="B16:C16"/>
    <mergeCell ref="B17:C17"/>
    <mergeCell ref="B18:C18"/>
    <mergeCell ref="B19:C19"/>
  </mergeCells>
  <pageMargins left="0.44" right="0.2" top="0.33" bottom="0.31" header="0.26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132" zoomScaleNormal="70" workbookViewId="0">
      <selection activeCell="G3" sqref="G3"/>
    </sheetView>
  </sheetViews>
  <sheetFormatPr defaultColWidth="9" defaultRowHeight="24"/>
  <cols>
    <col min="1" max="1" width="25" style="6" customWidth="1"/>
    <col min="2" max="2" width="10" style="6" customWidth="1"/>
    <col min="3" max="3" width="7.75" style="6" customWidth="1"/>
    <col min="4" max="14" width="6.375" style="6" customWidth="1"/>
    <col min="15" max="16384" width="9" style="6"/>
  </cols>
  <sheetData>
    <row r="1" spans="1:16">
      <c r="A1" s="264" t="s">
        <v>99</v>
      </c>
      <c r="B1" s="265"/>
    </row>
    <row r="2" spans="1:16">
      <c r="A2" s="265"/>
      <c r="B2" s="265"/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15</v>
      </c>
      <c r="L2" s="16" t="s">
        <v>16</v>
      </c>
      <c r="M2" s="16" t="s">
        <v>17</v>
      </c>
      <c r="N2" s="16" t="s">
        <v>18</v>
      </c>
      <c r="O2" s="16" t="s">
        <v>19</v>
      </c>
    </row>
    <row r="3" spans="1:16">
      <c r="A3" s="6" t="s">
        <v>100</v>
      </c>
      <c r="C3" s="172">
        <v>784</v>
      </c>
      <c r="D3" s="172">
        <v>668</v>
      </c>
      <c r="E3" s="172">
        <v>543</v>
      </c>
      <c r="F3" s="172">
        <v>487</v>
      </c>
      <c r="G3" s="172">
        <v>581</v>
      </c>
      <c r="H3" s="16"/>
      <c r="I3" s="16"/>
      <c r="J3" s="16"/>
      <c r="K3" s="16"/>
      <c r="L3" s="16"/>
      <c r="M3" s="16"/>
      <c r="N3" s="16"/>
      <c r="O3" s="16"/>
    </row>
    <row r="4" spans="1:16">
      <c r="A4" s="6" t="s">
        <v>101</v>
      </c>
      <c r="C4" s="27">
        <f>C3*0.8</f>
        <v>627.20000000000005</v>
      </c>
      <c r="D4" s="27">
        <f t="shared" ref="D4:O4" si="0">D3*0.8</f>
        <v>534.4</v>
      </c>
      <c r="E4" s="27">
        <f t="shared" si="0"/>
        <v>434.40000000000003</v>
      </c>
      <c r="F4" s="27">
        <f t="shared" si="0"/>
        <v>389.6</v>
      </c>
      <c r="G4" s="27">
        <f t="shared" si="0"/>
        <v>464.8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>
      <c r="A5" s="6" t="s">
        <v>102</v>
      </c>
    </row>
    <row r="7" spans="1:16">
      <c r="A7" s="221" t="s">
        <v>103</v>
      </c>
      <c r="G7" s="6" t="s">
        <v>104</v>
      </c>
      <c r="H7" s="52">
        <v>0.05</v>
      </c>
      <c r="I7" s="6" t="s">
        <v>105</v>
      </c>
      <c r="L7" s="11"/>
    </row>
    <row r="8" spans="1:16">
      <c r="A8" s="24" t="s">
        <v>106</v>
      </c>
    </row>
    <row r="9" spans="1:16">
      <c r="A9" s="24" t="s">
        <v>107</v>
      </c>
    </row>
    <row r="10" spans="1:16">
      <c r="A10" s="24" t="s">
        <v>108</v>
      </c>
    </row>
    <row r="11" spans="1:16">
      <c r="A11" s="23" t="s">
        <v>257</v>
      </c>
      <c r="B11" s="25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6" t="s">
        <v>12</v>
      </c>
      <c r="H11" s="16" t="s">
        <v>13</v>
      </c>
      <c r="I11" s="16" t="s">
        <v>14</v>
      </c>
      <c r="J11" s="16" t="s">
        <v>15</v>
      </c>
      <c r="K11" s="16" t="s">
        <v>16</v>
      </c>
      <c r="L11" s="16" t="s">
        <v>17</v>
      </c>
      <c r="M11" s="16" t="s">
        <v>18</v>
      </c>
      <c r="N11" s="16" t="s">
        <v>19</v>
      </c>
    </row>
    <row r="12" spans="1:16">
      <c r="A12" s="6" t="s">
        <v>109</v>
      </c>
      <c r="B12" s="27">
        <f t="shared" ref="B12:N12" si="1">C4</f>
        <v>627.20000000000005</v>
      </c>
      <c r="C12" s="27">
        <f t="shared" si="1"/>
        <v>534.4</v>
      </c>
      <c r="D12" s="27">
        <f t="shared" si="1"/>
        <v>434.40000000000003</v>
      </c>
      <c r="E12" s="27">
        <f t="shared" si="1"/>
        <v>389.6</v>
      </c>
      <c r="F12" s="27">
        <f t="shared" si="1"/>
        <v>464.8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>
      <c r="A13" s="28" t="s">
        <v>110</v>
      </c>
      <c r="B13" s="26">
        <f t="shared" ref="B13:N13" si="2">$H$7*B12*0.12</f>
        <v>3.7632000000000003</v>
      </c>
      <c r="C13" s="26">
        <f t="shared" si="2"/>
        <v>3.2063999999999999</v>
      </c>
      <c r="D13" s="26">
        <f t="shared" si="2"/>
        <v>2.6064000000000003</v>
      </c>
      <c r="E13" s="26">
        <f t="shared" si="2"/>
        <v>2.3376000000000006</v>
      </c>
      <c r="F13" s="26">
        <f t="shared" si="2"/>
        <v>2.7888000000000002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>
      <c r="A14" s="6" t="s">
        <v>111</v>
      </c>
    </row>
    <row r="15" spans="1:16" ht="25.5" customHeight="1">
      <c r="A15" s="266" t="s">
        <v>112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</row>
    <row r="16" spans="1:16">
      <c r="A16" s="266" t="s">
        <v>113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P16" s="6" t="s">
        <v>114</v>
      </c>
    </row>
    <row r="17" spans="1:6" ht="29.25">
      <c r="A17" s="55" t="s">
        <v>115</v>
      </c>
      <c r="B17" s="55"/>
      <c r="C17" s="55"/>
      <c r="D17" s="55"/>
      <c r="E17" s="55"/>
      <c r="F17" s="55"/>
    </row>
    <row r="18" spans="1:6">
      <c r="A18" s="6" t="s">
        <v>116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zoomScale="125" zoomScaleNormal="70" workbookViewId="0">
      <selection activeCell="C3" sqref="C3:H3"/>
    </sheetView>
  </sheetViews>
  <sheetFormatPr defaultColWidth="25.25" defaultRowHeight="24"/>
  <cols>
    <col min="1" max="1" width="41" style="6" customWidth="1"/>
    <col min="2" max="2" width="24.125" style="6" customWidth="1"/>
    <col min="3" max="15" width="10.375" style="6" customWidth="1"/>
    <col min="16" max="16" width="3.125" style="6" customWidth="1"/>
    <col min="17" max="17" width="13" style="6" customWidth="1"/>
    <col min="18" max="16384" width="25.25" style="6"/>
  </cols>
  <sheetData>
    <row r="1" spans="1:18" ht="29.25">
      <c r="A1" s="5" t="s">
        <v>117</v>
      </c>
      <c r="B1" s="3" t="s">
        <v>118</v>
      </c>
      <c r="C1" s="3" t="s">
        <v>119</v>
      </c>
      <c r="D1" s="3" t="s">
        <v>120</v>
      </c>
      <c r="E1" s="3" t="s">
        <v>121</v>
      </c>
      <c r="F1" s="3" t="s">
        <v>122</v>
      </c>
      <c r="G1" s="3" t="s">
        <v>123</v>
      </c>
      <c r="H1" s="3" t="s">
        <v>124</v>
      </c>
      <c r="I1" s="3" t="s">
        <v>125</v>
      </c>
      <c r="J1" s="3" t="s">
        <v>126</v>
      </c>
      <c r="K1" s="3" t="s">
        <v>127</v>
      </c>
      <c r="L1" s="3" t="s">
        <v>128</v>
      </c>
      <c r="M1" s="3" t="s">
        <v>129</v>
      </c>
      <c r="N1" s="3" t="s">
        <v>130</v>
      </c>
      <c r="O1" s="2" t="s">
        <v>131</v>
      </c>
      <c r="Q1" s="22" t="s">
        <v>132</v>
      </c>
    </row>
    <row r="2" spans="1:18" ht="29.25">
      <c r="B2" s="4" t="s">
        <v>133</v>
      </c>
      <c r="C2" s="19">
        <v>22</v>
      </c>
      <c r="D2" s="19">
        <v>19</v>
      </c>
      <c r="E2" s="19">
        <v>21</v>
      </c>
      <c r="F2" s="19">
        <v>18</v>
      </c>
      <c r="G2" s="19">
        <v>19</v>
      </c>
      <c r="H2" s="19">
        <v>19</v>
      </c>
      <c r="I2" s="19"/>
      <c r="J2" s="19"/>
      <c r="K2" s="19"/>
      <c r="L2" s="19"/>
      <c r="M2" s="19"/>
      <c r="N2" s="19"/>
      <c r="O2" s="1">
        <f>SUM(C2:N2)</f>
        <v>118</v>
      </c>
      <c r="Q2" s="21">
        <f>D23*E23*F23*H23*I23</f>
        <v>1.2E-2</v>
      </c>
      <c r="R2" s="6" t="s">
        <v>134</v>
      </c>
    </row>
    <row r="3" spans="1:18">
      <c r="B3" s="4" t="s">
        <v>135</v>
      </c>
      <c r="C3" s="19">
        <v>31</v>
      </c>
      <c r="D3" s="19">
        <v>31</v>
      </c>
      <c r="E3" s="19">
        <v>31</v>
      </c>
      <c r="F3" s="19">
        <v>31</v>
      </c>
      <c r="G3" s="19">
        <v>31</v>
      </c>
      <c r="H3" s="19">
        <v>31</v>
      </c>
      <c r="I3" s="19"/>
      <c r="J3" s="19"/>
      <c r="K3" s="19"/>
      <c r="L3" s="19"/>
      <c r="M3" s="19"/>
      <c r="N3" s="19"/>
      <c r="O3" s="1">
        <f>SUM(C3:N3)</f>
        <v>186</v>
      </c>
      <c r="P3" s="7"/>
    </row>
    <row r="4" spans="1:18">
      <c r="B4" s="29" t="s">
        <v>136</v>
      </c>
      <c r="C4" s="218">
        <f>C2*C3*$Q$2</f>
        <v>8.1840000000000011</v>
      </c>
      <c r="D4" s="218">
        <f t="shared" ref="D4:N4" si="0">D2*D3*$Q$2</f>
        <v>7.0680000000000005</v>
      </c>
      <c r="E4" s="218">
        <f t="shared" si="0"/>
        <v>7.8120000000000003</v>
      </c>
      <c r="F4" s="218">
        <f>F2*F3*$Q$2</f>
        <v>6.6959999999999997</v>
      </c>
      <c r="G4" s="218">
        <f t="shared" si="0"/>
        <v>7.0680000000000005</v>
      </c>
      <c r="H4" s="218">
        <f t="shared" si="0"/>
        <v>7.0680000000000005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43.896000000000001</v>
      </c>
    </row>
    <row r="5" spans="1:18">
      <c r="B5" s="8" t="s">
        <v>137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138</v>
      </c>
    </row>
    <row r="10" spans="1:18" ht="96">
      <c r="A10" s="10" t="s">
        <v>139</v>
      </c>
    </row>
    <row r="12" spans="1:18" ht="72">
      <c r="A12" s="10" t="s">
        <v>140</v>
      </c>
    </row>
    <row r="14" spans="1:18" ht="54.75" customHeight="1">
      <c r="A14" s="10" t="s">
        <v>141</v>
      </c>
    </row>
    <row r="22" spans="1:10" ht="72">
      <c r="D22" s="11" t="s">
        <v>142</v>
      </c>
      <c r="E22" s="11" t="s">
        <v>143</v>
      </c>
      <c r="F22" s="11" t="s">
        <v>144</v>
      </c>
      <c r="G22" s="12" t="s">
        <v>145</v>
      </c>
      <c r="H22" s="12" t="s">
        <v>146</v>
      </c>
      <c r="I22" s="13">
        <v>1E-3</v>
      </c>
      <c r="J22" s="12" t="s">
        <v>147</v>
      </c>
    </row>
    <row r="23" spans="1:10">
      <c r="A23" s="30" t="s">
        <v>136</v>
      </c>
      <c r="B23" s="14" t="s">
        <v>36</v>
      </c>
      <c r="C23" s="15">
        <f>D23*E23*F23*H23*I23*J23</f>
        <v>1.4159999999999999</v>
      </c>
      <c r="D23" s="16">
        <v>1</v>
      </c>
      <c r="E23" s="16">
        <v>1</v>
      </c>
      <c r="F23" s="16">
        <v>0.3</v>
      </c>
      <c r="G23" s="17">
        <f>O3</f>
        <v>186</v>
      </c>
      <c r="H23" s="16">
        <v>40</v>
      </c>
      <c r="I23" s="16">
        <f>I22</f>
        <v>1E-3</v>
      </c>
      <c r="J23" s="16">
        <f>O2</f>
        <v>118</v>
      </c>
    </row>
    <row r="27" spans="1:10" ht="28.5" customHeight="1"/>
    <row r="29" spans="1:10" ht="43.5" customHeight="1">
      <c r="D29" s="18">
        <f>D23*E23*F23*G23*H23*J23</f>
        <v>263376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sheetPr>
    <pageSetUpPr fitToPage="1"/>
  </sheetPr>
  <dimension ref="A1:AW49"/>
  <sheetViews>
    <sheetView view="pageBreakPreview" topLeftCell="A4" zoomScale="90" zoomScaleNormal="40" zoomScaleSheetLayoutView="90" workbookViewId="0">
      <selection activeCell="F17" sqref="F17"/>
    </sheetView>
  </sheetViews>
  <sheetFormatPr defaultColWidth="9" defaultRowHeight="24.95" customHeight="1"/>
  <cols>
    <col min="1" max="1" width="12.125" style="33" customWidth="1"/>
    <col min="2" max="2" width="50.875" style="31" customWidth="1"/>
    <col min="3" max="3" width="11.375" style="31" customWidth="1"/>
    <col min="4" max="4" width="18.25" style="31" customWidth="1"/>
    <col min="5" max="5" width="10.75" style="31" customWidth="1"/>
    <col min="6" max="6" width="8.75" style="56" customWidth="1"/>
    <col min="7" max="9" width="8.75" style="31" customWidth="1"/>
    <col min="10" max="10" width="8.75" style="45" customWidth="1"/>
    <col min="11" max="29" width="8.75" style="31" customWidth="1"/>
    <col min="30" max="30" width="10" style="31" customWidth="1"/>
    <col min="31" max="31" width="8.75" style="31" customWidth="1"/>
    <col min="32" max="32" width="9" style="31" customWidth="1"/>
    <col min="33" max="16384" width="9" style="31"/>
  </cols>
  <sheetData>
    <row r="1" spans="1:31" ht="24.95" customHeight="1">
      <c r="AC1" s="31" t="s">
        <v>0</v>
      </c>
    </row>
    <row r="2" spans="1:31" ht="24.95" customHeight="1">
      <c r="A2" s="273" t="s">
        <v>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5"/>
    </row>
    <row r="3" spans="1:31" s="33" customFormat="1" ht="24.95" customHeight="1">
      <c r="A3" s="276" t="s">
        <v>2</v>
      </c>
      <c r="B3" s="276" t="s">
        <v>3</v>
      </c>
      <c r="C3" s="276" t="s">
        <v>4</v>
      </c>
      <c r="D3" s="276" t="s">
        <v>5</v>
      </c>
      <c r="E3" s="276" t="s">
        <v>148</v>
      </c>
      <c r="F3" s="277" t="s">
        <v>258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9" t="s">
        <v>5</v>
      </c>
    </row>
    <row r="4" spans="1:31" s="33" customFormat="1" ht="24.95" customHeight="1">
      <c r="A4" s="276"/>
      <c r="B4" s="276"/>
      <c r="C4" s="276"/>
      <c r="D4" s="276"/>
      <c r="E4" s="276"/>
      <c r="F4" s="272" t="s">
        <v>7</v>
      </c>
      <c r="G4" s="272"/>
      <c r="H4" s="272" t="s">
        <v>8</v>
      </c>
      <c r="I4" s="272"/>
      <c r="J4" s="272" t="s">
        <v>9</v>
      </c>
      <c r="K4" s="272"/>
      <c r="L4" s="272" t="s">
        <v>10</v>
      </c>
      <c r="M4" s="272"/>
      <c r="N4" s="272" t="s">
        <v>11</v>
      </c>
      <c r="O4" s="272"/>
      <c r="P4" s="272" t="s">
        <v>12</v>
      </c>
      <c r="Q4" s="272"/>
      <c r="R4" s="272" t="s">
        <v>13</v>
      </c>
      <c r="S4" s="272"/>
      <c r="T4" s="272" t="s">
        <v>14</v>
      </c>
      <c r="U4" s="272"/>
      <c r="V4" s="272" t="s">
        <v>15</v>
      </c>
      <c r="W4" s="272"/>
      <c r="X4" s="272" t="s">
        <v>16</v>
      </c>
      <c r="Y4" s="272"/>
      <c r="Z4" s="272" t="s">
        <v>17</v>
      </c>
      <c r="AA4" s="272"/>
      <c r="AB4" s="272" t="s">
        <v>18</v>
      </c>
      <c r="AC4" s="272"/>
      <c r="AD4" s="282" t="s">
        <v>19</v>
      </c>
      <c r="AE4" s="280"/>
    </row>
    <row r="5" spans="1:31" s="33" customFormat="1" ht="24.95" customHeight="1">
      <c r="A5" s="276"/>
      <c r="B5" s="276"/>
      <c r="C5" s="276"/>
      <c r="D5" s="276"/>
      <c r="E5" s="276"/>
      <c r="F5" s="51" t="s">
        <v>20</v>
      </c>
      <c r="G5" s="51" t="s">
        <v>21</v>
      </c>
      <c r="H5" s="51" t="s">
        <v>20</v>
      </c>
      <c r="I5" s="51" t="s">
        <v>21</v>
      </c>
      <c r="J5" s="51" t="s">
        <v>20</v>
      </c>
      <c r="K5" s="51" t="s">
        <v>21</v>
      </c>
      <c r="L5" s="51" t="s">
        <v>20</v>
      </c>
      <c r="M5" s="51" t="s">
        <v>21</v>
      </c>
      <c r="N5" s="51" t="s">
        <v>20</v>
      </c>
      <c r="O5" s="51" t="s">
        <v>21</v>
      </c>
      <c r="P5" s="51" t="s">
        <v>20</v>
      </c>
      <c r="Q5" s="51" t="s">
        <v>21</v>
      </c>
      <c r="R5" s="51" t="s">
        <v>20</v>
      </c>
      <c r="S5" s="51" t="s">
        <v>21</v>
      </c>
      <c r="T5" s="51" t="s">
        <v>20</v>
      </c>
      <c r="U5" s="51" t="s">
        <v>21</v>
      </c>
      <c r="V5" s="51" t="s">
        <v>20</v>
      </c>
      <c r="W5" s="51" t="s">
        <v>21</v>
      </c>
      <c r="X5" s="51" t="s">
        <v>20</v>
      </c>
      <c r="Y5" s="51" t="s">
        <v>21</v>
      </c>
      <c r="Z5" s="51" t="s">
        <v>20</v>
      </c>
      <c r="AA5" s="51" t="s">
        <v>21</v>
      </c>
      <c r="AB5" s="51" t="s">
        <v>20</v>
      </c>
      <c r="AC5" s="51" t="s">
        <v>21</v>
      </c>
      <c r="AD5" s="283"/>
      <c r="AE5" s="281"/>
    </row>
    <row r="6" spans="1:31" ht="24.95" customHeight="1">
      <c r="A6" s="267" t="s">
        <v>22</v>
      </c>
      <c r="B6" s="36" t="s">
        <v>23</v>
      </c>
      <c r="C6" s="35"/>
      <c r="D6" s="35"/>
      <c r="E6" s="35"/>
      <c r="F6" s="35"/>
      <c r="G6" s="37"/>
      <c r="H6" s="38"/>
      <c r="I6" s="38"/>
      <c r="J6" s="39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5"/>
    </row>
    <row r="7" spans="1:31" ht="24.95" customHeight="1">
      <c r="A7" s="268"/>
      <c r="B7" s="36" t="s">
        <v>24</v>
      </c>
      <c r="C7" s="35"/>
      <c r="D7" s="35"/>
      <c r="E7" s="35"/>
      <c r="F7" s="35"/>
      <c r="G7" s="37"/>
      <c r="H7" s="38"/>
      <c r="I7" s="38"/>
      <c r="J7" s="39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2"/>
    </row>
    <row r="8" spans="1:31" ht="24.95" customHeight="1">
      <c r="A8" s="268"/>
      <c r="B8" s="40" t="s">
        <v>25</v>
      </c>
      <c r="C8" s="41">
        <v>2.7078000000000002</v>
      </c>
      <c r="D8" s="35" t="s">
        <v>26</v>
      </c>
      <c r="E8" s="35" t="s">
        <v>27</v>
      </c>
      <c r="F8" s="178"/>
      <c r="G8" s="176">
        <f>F8*C8</f>
        <v>0</v>
      </c>
      <c r="H8" s="178"/>
      <c r="I8" s="176">
        <f>H8*C8</f>
        <v>0</v>
      </c>
      <c r="J8" s="178"/>
      <c r="K8" s="176">
        <f>J8*C8</f>
        <v>0</v>
      </c>
      <c r="L8" s="178"/>
      <c r="M8" s="176">
        <f>L8*C8</f>
        <v>0</v>
      </c>
      <c r="N8" s="178"/>
      <c r="O8" s="176">
        <f>N8*C8</f>
        <v>0</v>
      </c>
      <c r="P8" s="178"/>
      <c r="Q8" s="176">
        <f>P8*C8</f>
        <v>0</v>
      </c>
      <c r="R8" s="178"/>
      <c r="S8" s="176">
        <f>R8*C8</f>
        <v>0</v>
      </c>
      <c r="T8" s="178"/>
      <c r="U8" s="176">
        <f>T8*C8</f>
        <v>0</v>
      </c>
      <c r="V8" s="178"/>
      <c r="W8" s="176">
        <f>V8*C8</f>
        <v>0</v>
      </c>
      <c r="X8" s="178"/>
      <c r="Y8" s="176">
        <f>X8*C8</f>
        <v>0</v>
      </c>
      <c r="Z8" s="178"/>
      <c r="AA8" s="176">
        <f>Z8*C8</f>
        <v>0</v>
      </c>
      <c r="AB8" s="178"/>
      <c r="AC8" s="176">
        <f>AB8*C8</f>
        <v>0</v>
      </c>
      <c r="AD8" s="179">
        <f>G8+I8+K8+M8+O8+Q8+S8+U8+W8+Y8+AA8+AC8</f>
        <v>0</v>
      </c>
      <c r="AE8" s="35" t="s">
        <v>149</v>
      </c>
    </row>
    <row r="9" spans="1:31" ht="24.95" customHeight="1">
      <c r="A9" s="268"/>
      <c r="B9" s="40" t="s">
        <v>28</v>
      </c>
      <c r="C9" s="41">
        <v>2.7078000000000002</v>
      </c>
      <c r="D9" s="35" t="s">
        <v>26</v>
      </c>
      <c r="E9" s="35" t="s">
        <v>27</v>
      </c>
      <c r="F9" s="178"/>
      <c r="G9" s="176">
        <f>F9*C9</f>
        <v>0</v>
      </c>
      <c r="H9" s="178"/>
      <c r="I9" s="176">
        <f>H9*C9</f>
        <v>0</v>
      </c>
      <c r="J9" s="178"/>
      <c r="K9" s="176">
        <f>J9*C9</f>
        <v>0</v>
      </c>
      <c r="L9" s="178"/>
      <c r="M9" s="176">
        <f>L9*C9</f>
        <v>0</v>
      </c>
      <c r="N9" s="178"/>
      <c r="O9" s="176">
        <f>N9*C9</f>
        <v>0</v>
      </c>
      <c r="P9" s="178"/>
      <c r="Q9" s="176">
        <f>P9*C9</f>
        <v>0</v>
      </c>
      <c r="R9" s="178"/>
      <c r="S9" s="176">
        <f>R9*C9</f>
        <v>0</v>
      </c>
      <c r="T9" s="178"/>
      <c r="U9" s="176">
        <f>T9*C9</f>
        <v>0</v>
      </c>
      <c r="V9" s="178"/>
      <c r="W9" s="176">
        <f>V9*C9</f>
        <v>0</v>
      </c>
      <c r="X9" s="178"/>
      <c r="Y9" s="176">
        <f>X9*C9</f>
        <v>0</v>
      </c>
      <c r="Z9" s="178"/>
      <c r="AA9" s="176">
        <f>Z9*C9</f>
        <v>0</v>
      </c>
      <c r="AB9" s="178"/>
      <c r="AC9" s="176">
        <f>AB9*C9</f>
        <v>0</v>
      </c>
      <c r="AD9" s="179">
        <f t="shared" ref="AD9:AD25" si="0">G9+I9+K9+M9+O9+Q9+S9+U9+W9+Y9+AA9+AC9</f>
        <v>0</v>
      </c>
      <c r="AE9" s="35" t="s">
        <v>149</v>
      </c>
    </row>
    <row r="10" spans="1:31" ht="24.95" customHeight="1">
      <c r="A10" s="268"/>
      <c r="B10" s="42" t="s">
        <v>29</v>
      </c>
      <c r="C10" s="41"/>
      <c r="D10" s="35"/>
      <c r="E10" s="35"/>
      <c r="F10" s="178"/>
      <c r="G10" s="176"/>
      <c r="H10" s="178"/>
      <c r="I10" s="176"/>
      <c r="J10" s="178"/>
      <c r="K10" s="176"/>
      <c r="L10" s="178"/>
      <c r="M10" s="176"/>
      <c r="N10" s="178"/>
      <c r="O10" s="176"/>
      <c r="P10" s="178"/>
      <c r="Q10" s="176"/>
      <c r="R10" s="178"/>
      <c r="S10" s="176"/>
      <c r="T10" s="178"/>
      <c r="U10" s="176"/>
      <c r="V10" s="178"/>
      <c r="W10" s="176"/>
      <c r="X10" s="178"/>
      <c r="Y10" s="176"/>
      <c r="Z10" s="178"/>
      <c r="AA10" s="176"/>
      <c r="AB10" s="178"/>
      <c r="AC10" s="176"/>
      <c r="AD10" s="179"/>
      <c r="AE10" s="35"/>
    </row>
    <row r="11" spans="1:31" ht="24.95" customHeight="1">
      <c r="A11" s="268"/>
      <c r="B11" s="42" t="s">
        <v>30</v>
      </c>
      <c r="C11" s="41"/>
      <c r="D11" s="35"/>
      <c r="E11" s="35"/>
      <c r="F11" s="178"/>
      <c r="G11" s="176"/>
      <c r="H11" s="178"/>
      <c r="I11" s="176"/>
      <c r="J11" s="178"/>
      <c r="K11" s="176"/>
      <c r="L11" s="178"/>
      <c r="M11" s="176"/>
      <c r="N11" s="178"/>
      <c r="O11" s="176"/>
      <c r="P11" s="178"/>
      <c r="Q11" s="176"/>
      <c r="R11" s="178"/>
      <c r="S11" s="176"/>
      <c r="T11" s="178"/>
      <c r="U11" s="176"/>
      <c r="V11" s="178"/>
      <c r="W11" s="176"/>
      <c r="X11" s="178"/>
      <c r="Y11" s="176"/>
      <c r="Z11" s="178"/>
      <c r="AA11" s="176"/>
      <c r="AB11" s="178"/>
      <c r="AC11" s="176"/>
      <c r="AD11" s="179"/>
      <c r="AE11" s="35"/>
    </row>
    <row r="12" spans="1:31" ht="24.95" customHeight="1">
      <c r="A12" s="268"/>
      <c r="B12" s="40" t="s">
        <v>31</v>
      </c>
      <c r="C12" s="41">
        <v>2.7406000000000001</v>
      </c>
      <c r="D12" s="35" t="s">
        <v>26</v>
      </c>
      <c r="E12" s="35" t="s">
        <v>27</v>
      </c>
      <c r="F12" s="175">
        <v>0</v>
      </c>
      <c r="G12" s="176">
        <f t="shared" ref="G12:G25" si="1">F12*C12</f>
        <v>0</v>
      </c>
      <c r="H12" s="177">
        <v>0</v>
      </c>
      <c r="I12" s="176">
        <f t="shared" ref="I12:I25" si="2">H12*C12</f>
        <v>0</v>
      </c>
      <c r="J12" s="174">
        <v>0</v>
      </c>
      <c r="K12" s="176">
        <f t="shared" ref="K12:K25" si="3">J12*C12</f>
        <v>0</v>
      </c>
      <c r="L12" s="200">
        <v>0</v>
      </c>
      <c r="M12" s="176">
        <f t="shared" ref="M12:M25" si="4">L12*C12</f>
        <v>0</v>
      </c>
      <c r="N12" s="200">
        <v>0</v>
      </c>
      <c r="O12" s="176">
        <f t="shared" ref="O12:O25" si="5">N12*C12</f>
        <v>0</v>
      </c>
      <c r="P12" s="200">
        <v>0</v>
      </c>
      <c r="Q12" s="176">
        <f t="shared" ref="Q12:Q25" si="6">P12*C12</f>
        <v>0</v>
      </c>
      <c r="R12" s="200">
        <v>0</v>
      </c>
      <c r="S12" s="176">
        <f t="shared" ref="S12:S25" si="7">R12*C12</f>
        <v>0</v>
      </c>
      <c r="T12" s="200">
        <v>0</v>
      </c>
      <c r="U12" s="176">
        <f t="shared" ref="U12:U25" si="8">T12*C12</f>
        <v>0</v>
      </c>
      <c r="V12" s="200">
        <v>0</v>
      </c>
      <c r="W12" s="176">
        <f t="shared" ref="W12:W25" si="9">V12*C12</f>
        <v>0</v>
      </c>
      <c r="X12" s="200">
        <v>0</v>
      </c>
      <c r="Y12" s="176">
        <f t="shared" ref="Y12:Y25" si="10">X12*C12</f>
        <v>0</v>
      </c>
      <c r="Z12" s="200">
        <v>0</v>
      </c>
      <c r="AA12" s="176">
        <f t="shared" ref="AA12:AA25" si="11">Z12*C12</f>
        <v>0</v>
      </c>
      <c r="AB12" s="200">
        <v>0</v>
      </c>
      <c r="AC12" s="176">
        <f t="shared" ref="AC12:AC25" si="12">AB12*C12</f>
        <v>0</v>
      </c>
      <c r="AD12" s="179">
        <f t="shared" si="0"/>
        <v>0</v>
      </c>
      <c r="AE12" s="35" t="s">
        <v>149</v>
      </c>
    </row>
    <row r="13" spans="1:31" ht="24.95" customHeight="1">
      <c r="A13" s="268"/>
      <c r="B13" s="40" t="s">
        <v>32</v>
      </c>
      <c r="C13" s="41">
        <v>2.2393999999999998</v>
      </c>
      <c r="D13" s="35" t="s">
        <v>26</v>
      </c>
      <c r="E13" s="35" t="s">
        <v>27</v>
      </c>
      <c r="F13" s="200">
        <v>0</v>
      </c>
      <c r="G13" s="176">
        <f t="shared" si="1"/>
        <v>0</v>
      </c>
      <c r="H13" s="200">
        <v>0</v>
      </c>
      <c r="I13" s="176">
        <f t="shared" si="2"/>
        <v>0</v>
      </c>
      <c r="J13" s="200">
        <v>0</v>
      </c>
      <c r="K13" s="176">
        <f t="shared" si="3"/>
        <v>0</v>
      </c>
      <c r="L13" s="174">
        <v>0</v>
      </c>
      <c r="M13" s="176">
        <f t="shared" si="4"/>
        <v>0</v>
      </c>
      <c r="N13" s="174">
        <v>0</v>
      </c>
      <c r="O13" s="176">
        <f t="shared" si="5"/>
        <v>0</v>
      </c>
      <c r="P13" s="174">
        <v>0</v>
      </c>
      <c r="Q13" s="176">
        <f t="shared" si="6"/>
        <v>0</v>
      </c>
      <c r="R13" s="174">
        <v>0</v>
      </c>
      <c r="S13" s="176">
        <f t="shared" si="7"/>
        <v>0</v>
      </c>
      <c r="T13" s="174">
        <v>0</v>
      </c>
      <c r="U13" s="176">
        <f t="shared" si="8"/>
        <v>0</v>
      </c>
      <c r="V13" s="174">
        <v>0</v>
      </c>
      <c r="W13" s="176">
        <f t="shared" si="9"/>
        <v>0</v>
      </c>
      <c r="X13" s="174">
        <v>0</v>
      </c>
      <c r="Y13" s="176">
        <f t="shared" si="10"/>
        <v>0</v>
      </c>
      <c r="Z13" s="174">
        <v>0</v>
      </c>
      <c r="AA13" s="176">
        <f t="shared" si="11"/>
        <v>0</v>
      </c>
      <c r="AB13" s="174">
        <v>0</v>
      </c>
      <c r="AC13" s="176">
        <f t="shared" si="12"/>
        <v>0</v>
      </c>
      <c r="AD13" s="179">
        <f t="shared" si="0"/>
        <v>0</v>
      </c>
      <c r="AE13" s="35" t="s">
        <v>149</v>
      </c>
    </row>
    <row r="14" spans="1:31" ht="24.95" customHeight="1">
      <c r="A14" s="268"/>
      <c r="B14" s="40" t="s">
        <v>33</v>
      </c>
      <c r="C14" s="41">
        <v>2.2393999999999998</v>
      </c>
      <c r="D14" s="35" t="s">
        <v>26</v>
      </c>
      <c r="E14" s="35" t="s">
        <v>27</v>
      </c>
      <c r="F14" s="174">
        <v>0</v>
      </c>
      <c r="G14" s="176">
        <f t="shared" si="1"/>
        <v>0</v>
      </c>
      <c r="H14" s="174">
        <v>0</v>
      </c>
      <c r="I14" s="176">
        <f t="shared" si="2"/>
        <v>0</v>
      </c>
      <c r="J14" s="174">
        <v>0</v>
      </c>
      <c r="K14" s="176">
        <f t="shared" si="3"/>
        <v>0</v>
      </c>
      <c r="L14" s="174">
        <v>0</v>
      </c>
      <c r="M14" s="176">
        <f t="shared" si="4"/>
        <v>0</v>
      </c>
      <c r="N14" s="174">
        <v>0</v>
      </c>
      <c r="O14" s="176">
        <f t="shared" si="5"/>
        <v>0</v>
      </c>
      <c r="P14" s="174">
        <v>0</v>
      </c>
      <c r="Q14" s="176">
        <f t="shared" si="6"/>
        <v>0</v>
      </c>
      <c r="R14" s="174">
        <v>0</v>
      </c>
      <c r="S14" s="176">
        <f t="shared" si="7"/>
        <v>0</v>
      </c>
      <c r="T14" s="174">
        <v>0</v>
      </c>
      <c r="U14" s="176">
        <f t="shared" si="8"/>
        <v>0</v>
      </c>
      <c r="V14" s="174">
        <v>0</v>
      </c>
      <c r="W14" s="176">
        <f t="shared" si="9"/>
        <v>0</v>
      </c>
      <c r="X14" s="174">
        <v>0</v>
      </c>
      <c r="Y14" s="176">
        <f t="shared" si="10"/>
        <v>0</v>
      </c>
      <c r="Z14" s="174">
        <v>0</v>
      </c>
      <c r="AA14" s="176">
        <f t="shared" si="11"/>
        <v>0</v>
      </c>
      <c r="AB14" s="174">
        <v>0</v>
      </c>
      <c r="AC14" s="176">
        <f t="shared" si="12"/>
        <v>0</v>
      </c>
      <c r="AD14" s="179">
        <f t="shared" si="0"/>
        <v>0</v>
      </c>
      <c r="AE14" s="35" t="s">
        <v>149</v>
      </c>
    </row>
    <row r="15" spans="1:31" ht="24.95" customHeight="1">
      <c r="A15" s="268"/>
      <c r="B15" s="42" t="s">
        <v>34</v>
      </c>
      <c r="C15" s="41">
        <v>1</v>
      </c>
      <c r="D15" s="35" t="s">
        <v>35</v>
      </c>
      <c r="E15" s="35" t="s">
        <v>36</v>
      </c>
      <c r="F15" s="174">
        <v>0</v>
      </c>
      <c r="G15" s="176">
        <f t="shared" si="1"/>
        <v>0</v>
      </c>
      <c r="H15" s="174">
        <v>0</v>
      </c>
      <c r="I15" s="176">
        <f t="shared" si="2"/>
        <v>0</v>
      </c>
      <c r="J15" s="174">
        <v>0</v>
      </c>
      <c r="K15" s="176">
        <f t="shared" si="3"/>
        <v>0</v>
      </c>
      <c r="L15" s="174">
        <v>0</v>
      </c>
      <c r="M15" s="176">
        <f t="shared" si="4"/>
        <v>0</v>
      </c>
      <c r="N15" s="174">
        <v>0</v>
      </c>
      <c r="O15" s="176">
        <f t="shared" si="5"/>
        <v>0</v>
      </c>
      <c r="P15" s="174">
        <v>0</v>
      </c>
      <c r="Q15" s="176">
        <f t="shared" si="6"/>
        <v>0</v>
      </c>
      <c r="R15" s="174">
        <v>0</v>
      </c>
      <c r="S15" s="176">
        <f t="shared" si="7"/>
        <v>0</v>
      </c>
      <c r="T15" s="174">
        <v>0</v>
      </c>
      <c r="U15" s="176">
        <f t="shared" si="8"/>
        <v>0</v>
      </c>
      <c r="V15" s="174">
        <v>0</v>
      </c>
      <c r="W15" s="176">
        <f t="shared" si="9"/>
        <v>0</v>
      </c>
      <c r="X15" s="174">
        <v>0</v>
      </c>
      <c r="Y15" s="176">
        <f t="shared" si="10"/>
        <v>0</v>
      </c>
      <c r="Z15" s="174">
        <v>0</v>
      </c>
      <c r="AA15" s="176">
        <f t="shared" si="11"/>
        <v>0</v>
      </c>
      <c r="AB15" s="174">
        <v>0</v>
      </c>
      <c r="AC15" s="176">
        <f t="shared" si="12"/>
        <v>0</v>
      </c>
      <c r="AD15" s="179">
        <f t="shared" si="0"/>
        <v>0</v>
      </c>
      <c r="AE15" s="35" t="s">
        <v>149</v>
      </c>
    </row>
    <row r="16" spans="1:31" ht="24.6" customHeight="1">
      <c r="A16" s="268"/>
      <c r="B16" s="59" t="s">
        <v>37</v>
      </c>
      <c r="C16" s="58">
        <v>28</v>
      </c>
      <c r="D16" s="35" t="s">
        <v>38</v>
      </c>
      <c r="E16" s="35" t="s">
        <v>39</v>
      </c>
      <c r="F16" s="223">
        <v>8.4480000000000004</v>
      </c>
      <c r="G16" s="176">
        <f t="shared" si="1"/>
        <v>236.54400000000001</v>
      </c>
      <c r="H16" s="180">
        <v>7.68</v>
      </c>
      <c r="I16" s="176">
        <f t="shared" si="2"/>
        <v>215.04</v>
      </c>
      <c r="J16" s="180">
        <v>8.0640000000000001</v>
      </c>
      <c r="K16" s="176">
        <f t="shared" si="3"/>
        <v>225.792</v>
      </c>
      <c r="L16" s="180">
        <v>6.9119999999999999</v>
      </c>
      <c r="M16" s="176">
        <f t="shared" si="4"/>
        <v>193.536</v>
      </c>
      <c r="N16" s="180">
        <v>8.0640000000000001</v>
      </c>
      <c r="O16" s="176">
        <f t="shared" si="5"/>
        <v>225.792</v>
      </c>
      <c r="P16" s="207">
        <v>7.2960000000000003</v>
      </c>
      <c r="Q16" s="176">
        <f t="shared" si="6"/>
        <v>204.28800000000001</v>
      </c>
      <c r="R16" s="180">
        <v>8.0640000000000001</v>
      </c>
      <c r="S16" s="176">
        <f t="shared" si="7"/>
        <v>225.792</v>
      </c>
      <c r="T16" s="180">
        <v>8.0640000000000001</v>
      </c>
      <c r="U16" s="176">
        <f t="shared" si="8"/>
        <v>225.792</v>
      </c>
      <c r="V16" s="180">
        <v>8.0640000000000001</v>
      </c>
      <c r="W16" s="176">
        <f t="shared" si="9"/>
        <v>225.792</v>
      </c>
      <c r="X16" s="180">
        <v>7.8120000000000003</v>
      </c>
      <c r="Y16" s="176">
        <f t="shared" si="10"/>
        <v>218.73600000000002</v>
      </c>
      <c r="Z16" s="180">
        <v>7.8120000000000003</v>
      </c>
      <c r="AA16" s="176">
        <f t="shared" si="11"/>
        <v>218.73600000000002</v>
      </c>
      <c r="AB16" s="180">
        <v>7.0680000000000005</v>
      </c>
      <c r="AC16" s="176">
        <f t="shared" si="12"/>
        <v>197.90400000000002</v>
      </c>
      <c r="AD16" s="179">
        <f t="shared" si="0"/>
        <v>2613.7439999999997</v>
      </c>
      <c r="AE16" s="35" t="s">
        <v>149</v>
      </c>
    </row>
    <row r="17" spans="1:44" ht="24.6" customHeight="1">
      <c r="A17" s="268"/>
      <c r="B17" s="60" t="s">
        <v>40</v>
      </c>
      <c r="C17" s="41">
        <v>28</v>
      </c>
      <c r="D17" s="35" t="s">
        <v>38</v>
      </c>
      <c r="E17" s="35" t="s">
        <v>39</v>
      </c>
      <c r="F17" s="181">
        <v>1.488</v>
      </c>
      <c r="G17" s="176">
        <f t="shared" si="1"/>
        <v>41.664000000000001</v>
      </c>
      <c r="H17" s="181">
        <v>1.8144000000000002</v>
      </c>
      <c r="I17" s="176">
        <f t="shared" si="2"/>
        <v>50.803200000000004</v>
      </c>
      <c r="J17" s="181">
        <v>2.1504000000000003</v>
      </c>
      <c r="K17" s="176">
        <f t="shared" si="3"/>
        <v>60.211200000000005</v>
      </c>
      <c r="L17" s="181">
        <v>2.2032000000000003</v>
      </c>
      <c r="M17" s="176">
        <f t="shared" si="4"/>
        <v>61.689600000000006</v>
      </c>
      <c r="N17" s="181">
        <v>2.5248000000000004</v>
      </c>
      <c r="O17" s="176">
        <f t="shared" si="5"/>
        <v>70.694400000000016</v>
      </c>
      <c r="P17" s="207">
        <v>2.496</v>
      </c>
      <c r="Q17" s="176">
        <f t="shared" si="6"/>
        <v>69.888000000000005</v>
      </c>
      <c r="R17" s="181">
        <v>5.4528000000000008</v>
      </c>
      <c r="S17" s="176">
        <f t="shared" si="7"/>
        <v>152.67840000000001</v>
      </c>
      <c r="T17" s="181">
        <v>3.9024000000000001</v>
      </c>
      <c r="U17" s="176">
        <f t="shared" si="8"/>
        <v>109.2672</v>
      </c>
      <c r="V17" s="181">
        <v>3.96</v>
      </c>
      <c r="W17" s="176">
        <f t="shared" si="9"/>
        <v>110.88</v>
      </c>
      <c r="X17" s="181">
        <v>4.6080000000000005</v>
      </c>
      <c r="Y17" s="176">
        <f t="shared" si="10"/>
        <v>129.024</v>
      </c>
      <c r="Z17" s="181">
        <v>5.3760000000000003</v>
      </c>
      <c r="AA17" s="176">
        <f t="shared" si="11"/>
        <v>150.52800000000002</v>
      </c>
      <c r="AB17" s="181">
        <v>4.7280000000000006</v>
      </c>
      <c r="AC17" s="176">
        <f t="shared" si="12"/>
        <v>132.38400000000001</v>
      </c>
      <c r="AD17" s="179">
        <f t="shared" si="0"/>
        <v>1139.712</v>
      </c>
      <c r="AE17" s="35" t="s">
        <v>149</v>
      </c>
    </row>
    <row r="18" spans="1:44" ht="24.6" customHeight="1">
      <c r="A18" s="268"/>
      <c r="B18" s="42" t="s">
        <v>41</v>
      </c>
      <c r="C18" s="41">
        <v>1760</v>
      </c>
      <c r="D18" s="35" t="s">
        <v>42</v>
      </c>
      <c r="E18" s="35" t="s">
        <v>43</v>
      </c>
      <c r="F18" s="181"/>
      <c r="G18" s="176"/>
      <c r="H18" s="181"/>
      <c r="I18" s="176"/>
      <c r="J18" s="181"/>
      <c r="K18" s="176"/>
      <c r="L18" s="181"/>
      <c r="M18" s="176"/>
      <c r="N18" s="181"/>
      <c r="O18" s="176"/>
      <c r="P18" s="181"/>
      <c r="Q18" s="176"/>
      <c r="R18" s="181"/>
      <c r="S18" s="176"/>
      <c r="T18" s="181"/>
      <c r="U18" s="176"/>
      <c r="V18" s="181"/>
      <c r="W18" s="176"/>
      <c r="X18" s="181"/>
      <c r="Y18" s="176"/>
      <c r="Z18" s="181"/>
      <c r="AA18" s="176"/>
      <c r="AB18" s="181"/>
      <c r="AC18" s="176"/>
      <c r="AD18" s="179"/>
      <c r="AE18" s="35"/>
    </row>
    <row r="19" spans="1:44" ht="24.95" customHeight="1">
      <c r="A19" s="269"/>
      <c r="B19" s="42" t="s">
        <v>44</v>
      </c>
      <c r="C19" s="41">
        <v>677</v>
      </c>
      <c r="D19" s="35" t="s">
        <v>45</v>
      </c>
      <c r="E19" s="43" t="s">
        <v>46</v>
      </c>
      <c r="F19" s="174">
        <v>0</v>
      </c>
      <c r="G19" s="176">
        <f t="shared" si="1"/>
        <v>0</v>
      </c>
      <c r="H19" s="174">
        <v>0</v>
      </c>
      <c r="I19" s="176">
        <f t="shared" si="2"/>
        <v>0</v>
      </c>
      <c r="J19" s="174">
        <v>0</v>
      </c>
      <c r="K19" s="176">
        <f t="shared" si="3"/>
        <v>0</v>
      </c>
      <c r="L19" s="174">
        <v>0</v>
      </c>
      <c r="M19" s="176">
        <f t="shared" si="4"/>
        <v>0</v>
      </c>
      <c r="N19" s="174">
        <v>0</v>
      </c>
      <c r="O19" s="176">
        <f t="shared" si="5"/>
        <v>0</v>
      </c>
      <c r="P19" s="174">
        <v>0</v>
      </c>
      <c r="Q19" s="176">
        <f t="shared" si="6"/>
        <v>0</v>
      </c>
      <c r="R19" s="174">
        <v>0</v>
      </c>
      <c r="S19" s="176">
        <f t="shared" si="7"/>
        <v>0</v>
      </c>
      <c r="T19" s="174">
        <v>0</v>
      </c>
      <c r="U19" s="176">
        <f t="shared" si="8"/>
        <v>0</v>
      </c>
      <c r="V19" s="174">
        <v>0</v>
      </c>
      <c r="W19" s="176">
        <f t="shared" si="9"/>
        <v>0</v>
      </c>
      <c r="X19" s="174">
        <v>0</v>
      </c>
      <c r="Y19" s="176">
        <f t="shared" si="10"/>
        <v>0</v>
      </c>
      <c r="Z19" s="174">
        <v>0</v>
      </c>
      <c r="AA19" s="176">
        <f t="shared" si="11"/>
        <v>0</v>
      </c>
      <c r="AB19" s="174">
        <v>0</v>
      </c>
      <c r="AC19" s="176">
        <f t="shared" si="12"/>
        <v>0</v>
      </c>
      <c r="AD19" s="179">
        <f t="shared" si="0"/>
        <v>0</v>
      </c>
      <c r="AE19" s="35" t="s">
        <v>149</v>
      </c>
    </row>
    <row r="20" spans="1:44" ht="36.950000000000003" customHeight="1">
      <c r="A20" s="34" t="s">
        <v>47</v>
      </c>
      <c r="B20" s="40" t="s">
        <v>48</v>
      </c>
      <c r="C20" s="41">
        <v>0.49990000000000001</v>
      </c>
      <c r="D20" s="35" t="s">
        <v>49</v>
      </c>
      <c r="E20" s="35" t="s">
        <v>50</v>
      </c>
      <c r="F20" s="174">
        <v>2178.9</v>
      </c>
      <c r="G20" s="176">
        <f t="shared" si="1"/>
        <v>1089.2321100000001</v>
      </c>
      <c r="H20" s="173">
        <v>8426.4500000000007</v>
      </c>
      <c r="I20" s="176">
        <f t="shared" si="2"/>
        <v>4212.3823550000006</v>
      </c>
      <c r="J20" s="174">
        <v>425.8</v>
      </c>
      <c r="K20" s="176">
        <f t="shared" si="3"/>
        <v>212.85742000000002</v>
      </c>
      <c r="L20" s="173">
        <v>4032.32</v>
      </c>
      <c r="M20" s="176">
        <f t="shared" si="4"/>
        <v>2015.7567680000002</v>
      </c>
      <c r="N20" s="173">
        <v>4449.08</v>
      </c>
      <c r="O20" s="176">
        <f t="shared" si="5"/>
        <v>2224.095092</v>
      </c>
      <c r="P20" s="173">
        <v>4118.78</v>
      </c>
      <c r="Q20" s="176">
        <f t="shared" si="6"/>
        <v>2058.978122</v>
      </c>
      <c r="R20" s="173">
        <v>6847.45</v>
      </c>
      <c r="S20" s="176">
        <f t="shared" si="7"/>
        <v>3423.0402549999999</v>
      </c>
      <c r="T20" s="173">
        <v>6396.13</v>
      </c>
      <c r="U20" s="176">
        <f t="shared" si="8"/>
        <v>3197.4253870000002</v>
      </c>
      <c r="V20" s="173">
        <v>1952.99</v>
      </c>
      <c r="W20" s="176">
        <f t="shared" si="9"/>
        <v>976.29970100000003</v>
      </c>
      <c r="X20" s="173">
        <v>8618</v>
      </c>
      <c r="Y20" s="176">
        <f t="shared" si="10"/>
        <v>4308.1382000000003</v>
      </c>
      <c r="Z20" s="173">
        <v>3704</v>
      </c>
      <c r="AA20" s="176">
        <f t="shared" si="11"/>
        <v>1851.6296</v>
      </c>
      <c r="AB20" s="173">
        <v>3477</v>
      </c>
      <c r="AC20" s="176">
        <f t="shared" si="12"/>
        <v>1738.1523</v>
      </c>
      <c r="AD20" s="179">
        <f t="shared" si="0"/>
        <v>27307.987310000004</v>
      </c>
      <c r="AE20" s="35" t="s">
        <v>149</v>
      </c>
    </row>
    <row r="21" spans="1:44" ht="24.95" customHeight="1">
      <c r="A21" s="267" t="s">
        <v>51</v>
      </c>
      <c r="B21" s="40" t="s">
        <v>52</v>
      </c>
      <c r="C21" s="41">
        <v>2.1019999999999999</v>
      </c>
      <c r="D21" s="35" t="s">
        <v>53</v>
      </c>
      <c r="E21" s="35" t="s">
        <v>36</v>
      </c>
      <c r="F21" s="200">
        <v>0</v>
      </c>
      <c r="G21" s="176">
        <f t="shared" si="1"/>
        <v>0</v>
      </c>
      <c r="H21" s="200">
        <v>0</v>
      </c>
      <c r="I21" s="176">
        <f t="shared" si="2"/>
        <v>0</v>
      </c>
      <c r="J21" s="200">
        <v>0</v>
      </c>
      <c r="K21" s="176">
        <f t="shared" si="3"/>
        <v>0</v>
      </c>
      <c r="L21" s="200">
        <v>0</v>
      </c>
      <c r="M21" s="176">
        <f t="shared" si="4"/>
        <v>0</v>
      </c>
      <c r="N21" s="200">
        <v>22.52</v>
      </c>
      <c r="O21" s="176">
        <f t="shared" si="5"/>
        <v>47.337039999999995</v>
      </c>
      <c r="P21" s="200">
        <v>32.79</v>
      </c>
      <c r="Q21" s="176">
        <f t="shared" si="6"/>
        <v>68.924579999999992</v>
      </c>
      <c r="R21" s="200">
        <v>22.52</v>
      </c>
      <c r="S21" s="176">
        <f t="shared" si="7"/>
        <v>47.337039999999995</v>
      </c>
      <c r="T21" s="200">
        <v>139.44</v>
      </c>
      <c r="U21" s="176">
        <f t="shared" si="8"/>
        <v>293.10287999999997</v>
      </c>
      <c r="V21" s="200">
        <v>20.02</v>
      </c>
      <c r="W21" s="176">
        <f t="shared" si="9"/>
        <v>42.082039999999999</v>
      </c>
      <c r="X21" s="200">
        <v>64.710000000000008</v>
      </c>
      <c r="Y21" s="176">
        <f t="shared" si="10"/>
        <v>136.02042</v>
      </c>
      <c r="Z21" s="200">
        <v>11.57</v>
      </c>
      <c r="AA21" s="176">
        <f t="shared" si="11"/>
        <v>24.320139999999999</v>
      </c>
      <c r="AB21" s="200">
        <v>34.07</v>
      </c>
      <c r="AC21" s="176">
        <f t="shared" si="12"/>
        <v>71.615139999999997</v>
      </c>
      <c r="AD21" s="179">
        <f t="shared" si="0"/>
        <v>730.73928000000001</v>
      </c>
      <c r="AE21" s="35" t="s">
        <v>149</v>
      </c>
    </row>
    <row r="22" spans="1:44" ht="24.95" customHeight="1">
      <c r="A22" s="268"/>
      <c r="B22" s="40" t="s">
        <v>54</v>
      </c>
      <c r="C22" s="41">
        <v>0.79479999999999995</v>
      </c>
      <c r="D22" s="35" t="s">
        <v>55</v>
      </c>
      <c r="E22" s="35" t="s">
        <v>56</v>
      </c>
      <c r="F22" s="174">
        <v>0</v>
      </c>
      <c r="G22" s="176">
        <f t="shared" si="1"/>
        <v>0</v>
      </c>
      <c r="H22" s="174">
        <v>0</v>
      </c>
      <c r="I22" s="176">
        <f t="shared" si="2"/>
        <v>0</v>
      </c>
      <c r="J22" s="174">
        <v>0</v>
      </c>
      <c r="K22" s="176">
        <f t="shared" si="3"/>
        <v>0</v>
      </c>
      <c r="L22" s="174">
        <v>0</v>
      </c>
      <c r="M22" s="176">
        <f t="shared" si="4"/>
        <v>0</v>
      </c>
      <c r="N22" s="174">
        <v>0</v>
      </c>
      <c r="O22" s="176">
        <f t="shared" si="5"/>
        <v>0</v>
      </c>
      <c r="P22" s="174">
        <v>0</v>
      </c>
      <c r="Q22" s="176">
        <f t="shared" si="6"/>
        <v>0</v>
      </c>
      <c r="R22" s="174"/>
      <c r="S22" s="176">
        <f t="shared" si="7"/>
        <v>0</v>
      </c>
      <c r="T22" s="174"/>
      <c r="U22" s="176">
        <f t="shared" si="8"/>
        <v>0</v>
      </c>
      <c r="V22" s="174"/>
      <c r="W22" s="176">
        <f t="shared" si="9"/>
        <v>0</v>
      </c>
      <c r="X22" s="174"/>
      <c r="Y22" s="176">
        <f t="shared" si="10"/>
        <v>0</v>
      </c>
      <c r="Z22" s="174"/>
      <c r="AA22" s="176">
        <f t="shared" si="11"/>
        <v>0</v>
      </c>
      <c r="AB22" s="174"/>
      <c r="AC22" s="176">
        <f t="shared" si="12"/>
        <v>0</v>
      </c>
      <c r="AD22" s="179">
        <f t="shared" si="0"/>
        <v>0</v>
      </c>
      <c r="AE22" s="35" t="s">
        <v>149</v>
      </c>
    </row>
    <row r="23" spans="1:44" ht="24.95" customHeight="1">
      <c r="A23" s="268"/>
      <c r="B23" s="40" t="s">
        <v>57</v>
      </c>
      <c r="C23" s="41">
        <v>0.54100000000000004</v>
      </c>
      <c r="D23" s="35" t="s">
        <v>55</v>
      </c>
      <c r="E23" s="35" t="s">
        <v>56</v>
      </c>
      <c r="F23" s="173">
        <v>310</v>
      </c>
      <c r="G23" s="176">
        <f t="shared" si="1"/>
        <v>167.71</v>
      </c>
      <c r="H23" s="173">
        <v>378</v>
      </c>
      <c r="I23" s="176">
        <f t="shared" si="2"/>
        <v>204.49800000000002</v>
      </c>
      <c r="J23" s="173">
        <v>448</v>
      </c>
      <c r="K23" s="176">
        <f t="shared" si="3"/>
        <v>242.36800000000002</v>
      </c>
      <c r="L23" s="173">
        <v>459</v>
      </c>
      <c r="M23" s="176">
        <f t="shared" si="4"/>
        <v>248.31900000000002</v>
      </c>
      <c r="N23" s="173">
        <v>526</v>
      </c>
      <c r="O23" s="176">
        <f t="shared" si="5"/>
        <v>284.56600000000003</v>
      </c>
      <c r="P23" s="173">
        <v>520</v>
      </c>
      <c r="Q23" s="176">
        <f t="shared" si="6"/>
        <v>281.32</v>
      </c>
      <c r="R23" s="173">
        <v>1136</v>
      </c>
      <c r="S23" s="176">
        <f t="shared" si="7"/>
        <v>614.57600000000002</v>
      </c>
      <c r="T23" s="173">
        <v>813</v>
      </c>
      <c r="U23" s="176">
        <f t="shared" si="8"/>
        <v>439.83300000000003</v>
      </c>
      <c r="V23" s="173">
        <v>825</v>
      </c>
      <c r="W23" s="176">
        <f t="shared" si="9"/>
        <v>446.32500000000005</v>
      </c>
      <c r="X23" s="173">
        <v>960</v>
      </c>
      <c r="Y23" s="176">
        <f t="shared" si="10"/>
        <v>519.36</v>
      </c>
      <c r="Z23" s="173">
        <v>1120</v>
      </c>
      <c r="AA23" s="176">
        <f t="shared" si="11"/>
        <v>605.92000000000007</v>
      </c>
      <c r="AB23" s="173">
        <v>985</v>
      </c>
      <c r="AC23" s="176">
        <f t="shared" si="12"/>
        <v>532.88499999999999</v>
      </c>
      <c r="AD23" s="179">
        <f t="shared" si="0"/>
        <v>4587.68</v>
      </c>
      <c r="AE23" s="35" t="s">
        <v>149</v>
      </c>
      <c r="AR23" s="44"/>
    </row>
    <row r="24" spans="1:44" ht="24.95" customHeight="1">
      <c r="A24" s="268"/>
      <c r="B24" s="38" t="s">
        <v>58</v>
      </c>
      <c r="C24" s="41">
        <v>2.3199999999999998</v>
      </c>
      <c r="D24" s="35" t="s">
        <v>53</v>
      </c>
      <c r="E24" s="43" t="s">
        <v>36</v>
      </c>
      <c r="F24" s="174">
        <v>0</v>
      </c>
      <c r="G24" s="176">
        <f t="shared" si="1"/>
        <v>0</v>
      </c>
      <c r="H24" s="174">
        <v>0</v>
      </c>
      <c r="I24" s="176">
        <f t="shared" si="2"/>
        <v>0</v>
      </c>
      <c r="J24" s="174">
        <v>0</v>
      </c>
      <c r="K24" s="176">
        <f t="shared" si="3"/>
        <v>0</v>
      </c>
      <c r="L24" s="174">
        <v>0</v>
      </c>
      <c r="M24" s="176">
        <f t="shared" si="4"/>
        <v>0</v>
      </c>
      <c r="N24" s="174">
        <v>138.99999999999997</v>
      </c>
      <c r="O24" s="176">
        <f t="shared" si="5"/>
        <v>322.4799999999999</v>
      </c>
      <c r="P24" s="174">
        <v>180.49999999999997</v>
      </c>
      <c r="Q24" s="176">
        <f t="shared" si="6"/>
        <v>418.75999999999988</v>
      </c>
      <c r="R24" s="174">
        <v>289.19999999999993</v>
      </c>
      <c r="S24" s="176">
        <f t="shared" si="7"/>
        <v>670.94399999999985</v>
      </c>
      <c r="T24" s="174">
        <v>298</v>
      </c>
      <c r="U24" s="176">
        <f t="shared" si="8"/>
        <v>691.3599999999999</v>
      </c>
      <c r="V24" s="174">
        <v>235.74999999999997</v>
      </c>
      <c r="W24" s="176">
        <f t="shared" si="9"/>
        <v>546.93999999999994</v>
      </c>
      <c r="X24" s="174">
        <v>244.45</v>
      </c>
      <c r="Y24" s="176">
        <f t="shared" si="10"/>
        <v>567.12399999999991</v>
      </c>
      <c r="Z24" s="174">
        <v>306.49999999999994</v>
      </c>
      <c r="AA24" s="176">
        <f t="shared" si="11"/>
        <v>711.07999999999981</v>
      </c>
      <c r="AB24" s="174">
        <v>197.17000000000004</v>
      </c>
      <c r="AC24" s="176">
        <f t="shared" si="12"/>
        <v>457.4344000000001</v>
      </c>
      <c r="AD24" s="179">
        <f t="shared" si="0"/>
        <v>4386.1224000000002</v>
      </c>
      <c r="AE24" s="35" t="s">
        <v>149</v>
      </c>
      <c r="AR24" s="46"/>
    </row>
    <row r="25" spans="1:44" ht="25.5" customHeight="1">
      <c r="A25" s="269"/>
      <c r="B25" s="114" t="s">
        <v>59</v>
      </c>
      <c r="C25" s="41">
        <v>2.7078000000000002</v>
      </c>
      <c r="D25" s="35" t="s">
        <v>26</v>
      </c>
      <c r="E25" s="35" t="s">
        <v>27</v>
      </c>
      <c r="F25" s="174">
        <v>0</v>
      </c>
      <c r="G25" s="176">
        <f t="shared" si="1"/>
        <v>0</v>
      </c>
      <c r="H25" s="174">
        <v>0</v>
      </c>
      <c r="I25" s="176">
        <f t="shared" si="2"/>
        <v>0</v>
      </c>
      <c r="J25" s="174">
        <v>0</v>
      </c>
      <c r="K25" s="176">
        <f t="shared" si="3"/>
        <v>0</v>
      </c>
      <c r="L25" s="174">
        <v>0</v>
      </c>
      <c r="M25" s="176">
        <f t="shared" si="4"/>
        <v>0</v>
      </c>
      <c r="N25" s="174">
        <v>0</v>
      </c>
      <c r="O25" s="176">
        <f t="shared" si="5"/>
        <v>0</v>
      </c>
      <c r="P25" s="174">
        <v>0</v>
      </c>
      <c r="Q25" s="176">
        <f t="shared" si="6"/>
        <v>0</v>
      </c>
      <c r="R25" s="174"/>
      <c r="S25" s="176">
        <f t="shared" si="7"/>
        <v>0</v>
      </c>
      <c r="T25" s="174">
        <v>0</v>
      </c>
      <c r="U25" s="176">
        <f t="shared" si="8"/>
        <v>0</v>
      </c>
      <c r="V25" s="174"/>
      <c r="W25" s="176">
        <f t="shared" si="9"/>
        <v>0</v>
      </c>
      <c r="X25" s="174"/>
      <c r="Y25" s="176">
        <f t="shared" si="10"/>
        <v>0</v>
      </c>
      <c r="Z25" s="174"/>
      <c r="AA25" s="176">
        <f t="shared" si="11"/>
        <v>0</v>
      </c>
      <c r="AB25" s="174"/>
      <c r="AC25" s="176">
        <f t="shared" si="12"/>
        <v>0</v>
      </c>
      <c r="AD25" s="179">
        <f t="shared" si="0"/>
        <v>0</v>
      </c>
      <c r="AE25" s="35" t="s">
        <v>149</v>
      </c>
      <c r="AR25" s="46"/>
    </row>
    <row r="26" spans="1:44" ht="25.5" customHeight="1">
      <c r="A26" s="270" t="s">
        <v>19</v>
      </c>
      <c r="B26" s="270"/>
      <c r="C26" s="270"/>
      <c r="D26" s="270"/>
      <c r="E26" s="270"/>
      <c r="F26" s="131"/>
      <c r="G26" s="132">
        <f t="shared" ref="G26:AD26" si="13">SUM(G8:G25)</f>
        <v>1535.1501100000003</v>
      </c>
      <c r="H26" s="132"/>
      <c r="I26" s="132">
        <f t="shared" si="13"/>
        <v>4682.7235550000005</v>
      </c>
      <c r="J26" s="132"/>
      <c r="K26" s="132">
        <f t="shared" si="13"/>
        <v>741.22862000000009</v>
      </c>
      <c r="L26" s="132"/>
      <c r="M26" s="132">
        <f t="shared" si="13"/>
        <v>2519.3013680000004</v>
      </c>
      <c r="N26" s="132"/>
      <c r="O26" s="132">
        <f t="shared" si="13"/>
        <v>3174.9645320000004</v>
      </c>
      <c r="P26" s="132"/>
      <c r="Q26" s="132">
        <f t="shared" si="13"/>
        <v>3102.1587019999997</v>
      </c>
      <c r="R26" s="132"/>
      <c r="S26" s="132">
        <f t="shared" si="13"/>
        <v>5134.367694999999</v>
      </c>
      <c r="T26" s="132"/>
      <c r="U26" s="132">
        <f t="shared" si="13"/>
        <v>4956.7804669999996</v>
      </c>
      <c r="V26" s="132"/>
      <c r="W26" s="132">
        <f t="shared" si="13"/>
        <v>2348.318741</v>
      </c>
      <c r="X26" s="132"/>
      <c r="Y26" s="132">
        <f t="shared" si="13"/>
        <v>5878.4026199999998</v>
      </c>
      <c r="Z26" s="132"/>
      <c r="AA26" s="132">
        <f t="shared" si="13"/>
        <v>3562.2137399999997</v>
      </c>
      <c r="AB26" s="132"/>
      <c r="AC26" s="132">
        <f t="shared" si="13"/>
        <v>3130.3748400000004</v>
      </c>
      <c r="AD26" s="132">
        <f t="shared" si="13"/>
        <v>40765.984990000004</v>
      </c>
      <c r="AE26" s="35" t="s">
        <v>149</v>
      </c>
      <c r="AR26" s="46"/>
    </row>
    <row r="27" spans="1:44" s="33" customFormat="1" ht="24.95" customHeight="1">
      <c r="A27" s="33" t="s">
        <v>60</v>
      </c>
      <c r="B27" s="31" t="s">
        <v>61</v>
      </c>
      <c r="F27" s="57"/>
      <c r="G27" s="44"/>
      <c r="J27" s="53"/>
      <c r="AR27" s="54"/>
    </row>
    <row r="28" spans="1:44" ht="24.95" customHeight="1">
      <c r="B28" s="31" t="s">
        <v>62</v>
      </c>
      <c r="K28" s="44"/>
      <c r="L28" s="44"/>
      <c r="M28" s="44"/>
      <c r="N28" s="44"/>
      <c r="P28" s="44"/>
      <c r="Q28" s="44"/>
      <c r="R28" s="44"/>
      <c r="S28" s="44"/>
      <c r="AR28" s="46"/>
    </row>
    <row r="29" spans="1:44" ht="24.95" customHeight="1">
      <c r="B29" s="115" t="s">
        <v>63</v>
      </c>
      <c r="K29" s="44"/>
      <c r="L29" s="44"/>
      <c r="M29" s="44"/>
      <c r="N29" s="44"/>
      <c r="P29" s="44"/>
      <c r="Q29" s="44"/>
      <c r="R29" s="44"/>
      <c r="S29" s="44"/>
      <c r="AR29" s="46"/>
    </row>
    <row r="30" spans="1:44" ht="24.95" customHeight="1">
      <c r="B30" s="115" t="s">
        <v>150</v>
      </c>
      <c r="K30" s="44"/>
      <c r="L30" s="44"/>
      <c r="M30" s="44"/>
      <c r="N30" s="44"/>
      <c r="P30" s="44"/>
      <c r="Q30" s="44"/>
      <c r="R30" s="44"/>
      <c r="S30" s="44"/>
      <c r="AR30" s="46"/>
    </row>
    <row r="31" spans="1:44" ht="24.95" customHeight="1">
      <c r="B31" s="115" t="s">
        <v>65</v>
      </c>
      <c r="K31" s="44"/>
      <c r="L31" s="44"/>
      <c r="M31" s="44"/>
      <c r="N31" s="44"/>
      <c r="P31" s="44"/>
      <c r="Q31" s="44"/>
      <c r="R31" s="44"/>
      <c r="S31" s="44"/>
      <c r="AR31" s="46"/>
    </row>
    <row r="32" spans="1:44" ht="24.95" customHeight="1">
      <c r="B32" s="115" t="s">
        <v>66</v>
      </c>
      <c r="K32" s="47"/>
      <c r="L32" s="48"/>
      <c r="M32" s="49"/>
      <c r="N32" s="47"/>
      <c r="P32" s="47"/>
      <c r="Q32" s="48"/>
      <c r="R32" s="49"/>
      <c r="S32" s="47"/>
    </row>
    <row r="33" spans="1:49" ht="24.95" customHeight="1">
      <c r="B33" s="115" t="s">
        <v>67</v>
      </c>
      <c r="K33" s="47"/>
      <c r="L33" s="48"/>
      <c r="M33" s="49"/>
      <c r="N33" s="47"/>
      <c r="P33" s="47"/>
      <c r="Q33" s="48"/>
      <c r="R33" s="49"/>
      <c r="S33" s="47"/>
      <c r="AW33" s="45"/>
    </row>
    <row r="34" spans="1:49" ht="24.95" customHeight="1">
      <c r="B34" s="31" t="s">
        <v>68</v>
      </c>
      <c r="K34" s="47"/>
      <c r="L34" s="48"/>
      <c r="M34" s="49"/>
      <c r="N34" s="47"/>
      <c r="P34" s="47"/>
      <c r="Q34" s="48"/>
      <c r="R34" s="49"/>
      <c r="S34" s="47"/>
      <c r="AW34" s="45"/>
    </row>
    <row r="35" spans="1:49" ht="24.95" customHeight="1">
      <c r="K35" s="47"/>
      <c r="L35" s="48"/>
      <c r="M35" s="49"/>
      <c r="N35" s="47"/>
      <c r="P35" s="47"/>
      <c r="Q35" s="48"/>
      <c r="R35" s="49"/>
      <c r="S35" s="47"/>
      <c r="AW35" s="45"/>
    </row>
    <row r="36" spans="1:49" ht="24.95" customHeight="1">
      <c r="B36" s="271" t="s">
        <v>259</v>
      </c>
      <c r="C36" s="271"/>
      <c r="D36" s="271"/>
      <c r="E36" s="271"/>
      <c r="J36" s="31"/>
      <c r="AW36" s="45"/>
    </row>
    <row r="37" spans="1:49" ht="24.95" customHeight="1">
      <c r="B37" s="116" t="s">
        <v>72</v>
      </c>
      <c r="C37" s="116" t="s">
        <v>151</v>
      </c>
      <c r="D37" s="116" t="s">
        <v>152</v>
      </c>
      <c r="E37" s="116" t="s">
        <v>5</v>
      </c>
      <c r="J37" s="31"/>
      <c r="AW37" s="45"/>
    </row>
    <row r="38" spans="1:49" ht="24.95" customHeight="1">
      <c r="B38" s="117" t="s">
        <v>74</v>
      </c>
      <c r="C38" s="118">
        <f>(SUM(AD8:AD19))/1000</f>
        <v>3.7534559999999995</v>
      </c>
      <c r="D38" s="199">
        <f>(C38*100)/$C$41</f>
        <v>9.2073232154717495</v>
      </c>
      <c r="E38" s="117" t="s">
        <v>153</v>
      </c>
      <c r="J38" s="31"/>
      <c r="AW38" s="45"/>
    </row>
    <row r="39" spans="1:49" ht="24.95" customHeight="1">
      <c r="B39" s="117" t="s">
        <v>75</v>
      </c>
      <c r="C39" s="118">
        <f>$AD$20/1000</f>
        <v>27.307987310000005</v>
      </c>
      <c r="D39" s="199">
        <f>(C39*100)/$C$41</f>
        <v>66.9871887474293</v>
      </c>
      <c r="E39" s="117" t="s">
        <v>153</v>
      </c>
      <c r="J39" s="31"/>
      <c r="AW39" s="45"/>
    </row>
    <row r="40" spans="1:49" ht="24.95" customHeight="1">
      <c r="B40" s="117" t="s">
        <v>76</v>
      </c>
      <c r="C40" s="118">
        <f>SUM(AD21:AD24)/1000</f>
        <v>9.7045416800000002</v>
      </c>
      <c r="D40" s="199">
        <f>(C40*100)/$C$41</f>
        <v>23.805488037098936</v>
      </c>
      <c r="E40" s="117" t="s">
        <v>153</v>
      </c>
      <c r="J40" s="31"/>
      <c r="AW40" s="45"/>
    </row>
    <row r="41" spans="1:49" ht="24.95" customHeight="1">
      <c r="A41" s="50"/>
      <c r="B41" s="117" t="s">
        <v>19</v>
      </c>
      <c r="C41" s="118">
        <f>SUM(C38:C40)</f>
        <v>40.765984990000007</v>
      </c>
      <c r="D41" s="199">
        <f>(C41*100)/$C$41</f>
        <v>100</v>
      </c>
      <c r="E41" s="117" t="s">
        <v>153</v>
      </c>
      <c r="J41" s="31"/>
      <c r="AW41" s="45"/>
    </row>
    <row r="42" spans="1:49" ht="24.95" customHeight="1">
      <c r="A42" s="50"/>
      <c r="B42" s="48"/>
      <c r="J42" s="31"/>
      <c r="AW42" s="45"/>
    </row>
    <row r="43" spans="1:49" ht="24.95" customHeight="1">
      <c r="A43" s="50"/>
      <c r="B43" s="48"/>
      <c r="J43" s="31"/>
      <c r="AW43" s="45"/>
    </row>
    <row r="44" spans="1:49" ht="24.95" customHeight="1">
      <c r="J44" s="31"/>
      <c r="AW44" s="45"/>
    </row>
    <row r="45" spans="1:49" ht="24.95" customHeight="1">
      <c r="J45" s="31"/>
      <c r="AW45" s="45"/>
    </row>
    <row r="46" spans="1:49" ht="24.95" customHeight="1">
      <c r="J46" s="31"/>
      <c r="AW46" s="45"/>
    </row>
    <row r="47" spans="1:49" ht="24.95" customHeight="1">
      <c r="J47" s="31"/>
    </row>
    <row r="48" spans="1:49" ht="24.95" customHeight="1">
      <c r="J48" s="31"/>
    </row>
    <row r="49" spans="10:10" ht="24.95" customHeight="1">
      <c r="J49" s="31"/>
    </row>
  </sheetData>
  <mergeCells count="25"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B1" zoomScaleNormal="70" zoomScaleSheetLayoutView="100" workbookViewId="0">
      <selection activeCell="B57" sqref="B57"/>
    </sheetView>
  </sheetViews>
  <sheetFormatPr defaultColWidth="9.125" defaultRowHeight="14.25"/>
  <cols>
    <col min="1" max="1" width="6.125" style="62" customWidth="1"/>
    <col min="2" max="2" width="34.25" style="62" customWidth="1"/>
    <col min="3" max="3" width="8" style="62" customWidth="1"/>
    <col min="4" max="6" width="14.125" style="62" customWidth="1"/>
    <col min="7" max="7" width="14.125" style="75" customWidth="1"/>
    <col min="8" max="8" width="48.75" style="62" bestFit="1" customWidth="1"/>
    <col min="9" max="9" width="9.125" style="62"/>
    <col min="10" max="10" width="16.125" style="62" customWidth="1"/>
    <col min="11" max="11" width="23.125" style="62" customWidth="1"/>
    <col min="12" max="12" width="9.125" style="62"/>
    <col min="13" max="13" width="8.875" style="62" hidden="1" customWidth="1"/>
    <col min="14" max="15" width="0" style="62" hidden="1" customWidth="1"/>
    <col min="16" max="16" width="9.125" style="62"/>
    <col min="17" max="17" width="23.125" style="62" customWidth="1"/>
    <col min="18" max="19" width="9.125" style="62"/>
    <col min="20" max="20" width="15.125" style="62" bestFit="1" customWidth="1"/>
    <col min="21" max="21" width="12.125" style="62" bestFit="1" customWidth="1"/>
    <col min="22" max="22" width="15.125" style="62" bestFit="1" customWidth="1"/>
    <col min="23" max="16384" width="9.125" style="62"/>
  </cols>
  <sheetData>
    <row r="2" spans="1:13" ht="17.25">
      <c r="A2" s="286"/>
      <c r="B2" s="287" t="s">
        <v>154</v>
      </c>
      <c r="C2" s="286" t="s">
        <v>155</v>
      </c>
      <c r="D2" s="288" t="s">
        <v>156</v>
      </c>
      <c r="E2" s="289"/>
      <c r="F2" s="289"/>
      <c r="G2" s="289"/>
      <c r="H2" s="287" t="s">
        <v>157</v>
      </c>
      <c r="J2" s="284" t="s">
        <v>158</v>
      </c>
      <c r="K2" s="285"/>
    </row>
    <row r="3" spans="1:13">
      <c r="A3" s="286"/>
      <c r="B3" s="287"/>
      <c r="C3" s="286"/>
      <c r="D3" s="61" t="s">
        <v>159</v>
      </c>
      <c r="E3" s="61" t="s">
        <v>160</v>
      </c>
      <c r="F3" s="61" t="s">
        <v>161</v>
      </c>
      <c r="G3" s="63" t="s">
        <v>131</v>
      </c>
      <c r="H3" s="287"/>
      <c r="J3" s="64" t="s">
        <v>162</v>
      </c>
      <c r="K3" s="65" t="s">
        <v>163</v>
      </c>
    </row>
    <row r="4" spans="1:13">
      <c r="A4" s="286"/>
      <c r="B4" s="287"/>
      <c r="C4" s="286"/>
      <c r="D4" s="61" t="s">
        <v>164</v>
      </c>
      <c r="E4" s="61" t="s">
        <v>165</v>
      </c>
      <c r="F4" s="61" t="s">
        <v>166</v>
      </c>
      <c r="G4" s="63" t="s">
        <v>167</v>
      </c>
      <c r="H4" s="287"/>
      <c r="J4" s="64" t="s">
        <v>168</v>
      </c>
      <c r="K4" s="66">
        <v>1</v>
      </c>
    </row>
    <row r="5" spans="1:13">
      <c r="A5" s="67" t="s">
        <v>169</v>
      </c>
      <c r="C5" s="68"/>
      <c r="D5" s="68"/>
      <c r="E5" s="68"/>
      <c r="F5" s="68"/>
      <c r="G5" s="69"/>
      <c r="H5" s="70"/>
      <c r="J5" s="64" t="s">
        <v>170</v>
      </c>
      <c r="K5" s="66">
        <v>30</v>
      </c>
    </row>
    <row r="6" spans="1:13">
      <c r="A6" s="71"/>
      <c r="B6" s="72" t="s">
        <v>171</v>
      </c>
      <c r="C6" s="71" t="s">
        <v>172</v>
      </c>
      <c r="D6" s="73">
        <f>D69*$G$69*10^-6</f>
        <v>5.7221999999999995E-2</v>
      </c>
      <c r="E6" s="73">
        <f>E69*$G$69*10^-6</f>
        <v>1.02E-6</v>
      </c>
      <c r="F6" s="73">
        <f>F69*$G$69*10^-6</f>
        <v>1.02E-7</v>
      </c>
      <c r="G6" s="69">
        <f t="shared" ref="G6:G15" si="0">D6+(E6*$K$5)+(F6*$K$7)</f>
        <v>5.7279629999999991E-2</v>
      </c>
      <c r="H6" s="74" t="s">
        <v>173</v>
      </c>
      <c r="I6" s="75"/>
      <c r="J6" s="64" t="s">
        <v>174</v>
      </c>
      <c r="K6" s="66">
        <v>28</v>
      </c>
    </row>
    <row r="7" spans="1:13">
      <c r="A7" s="71"/>
      <c r="B7" s="72" t="s">
        <v>171</v>
      </c>
      <c r="C7" s="71" t="s">
        <v>175</v>
      </c>
      <c r="D7" s="73">
        <f>D69/1000000</f>
        <v>5.6099999999999997E-2</v>
      </c>
      <c r="E7" s="73">
        <f t="shared" ref="E7" si="1">E69/1000000</f>
        <v>9.9999999999999995E-7</v>
      </c>
      <c r="F7" s="73">
        <f>F69/1000000</f>
        <v>1.0000000000000001E-7</v>
      </c>
      <c r="G7" s="69">
        <f t="shared" si="0"/>
        <v>5.6156499999999998E-2</v>
      </c>
      <c r="H7" s="74" t="s">
        <v>173</v>
      </c>
      <c r="I7" s="75"/>
      <c r="J7" s="64" t="s">
        <v>176</v>
      </c>
      <c r="K7" s="66">
        <v>265</v>
      </c>
    </row>
    <row r="8" spans="1:13">
      <c r="A8" s="71"/>
      <c r="B8" s="72" t="s">
        <v>177</v>
      </c>
      <c r="C8" s="71" t="s">
        <v>36</v>
      </c>
      <c r="D8" s="73">
        <f>D70*$G$70*10^-6</f>
        <v>1.0574699999999999</v>
      </c>
      <c r="E8" s="73">
        <f t="shared" ref="E8:F8" si="2">E70*$G$70*10^-6</f>
        <v>1.047E-5</v>
      </c>
      <c r="F8" s="73">
        <f t="shared" si="2"/>
        <v>1.5705E-5</v>
      </c>
      <c r="G8" s="69">
        <f t="shared" si="0"/>
        <v>1.0619459249999998</v>
      </c>
      <c r="H8" s="74" t="s">
        <v>173</v>
      </c>
      <c r="I8" s="75"/>
      <c r="J8" s="64" t="s">
        <v>178</v>
      </c>
      <c r="K8" s="66">
        <v>23500</v>
      </c>
    </row>
    <row r="9" spans="1:13">
      <c r="A9" s="71"/>
      <c r="B9" s="72" t="s">
        <v>179</v>
      </c>
      <c r="C9" s="71" t="s">
        <v>180</v>
      </c>
      <c r="D9" s="73">
        <f>D71*$G$71*10^-6</f>
        <v>3.2096984443713019</v>
      </c>
      <c r="E9" s="73">
        <f>E71*$G$71*10^-6</f>
        <v>1.2440691644850007E-4</v>
      </c>
      <c r="F9" s="73">
        <f>F71*$G$71*10^-6</f>
        <v>2.4881383289700012E-5</v>
      </c>
      <c r="G9" s="69">
        <f t="shared" si="0"/>
        <v>3.2200242184365275</v>
      </c>
      <c r="H9" s="74" t="s">
        <v>181</v>
      </c>
      <c r="I9" s="75"/>
      <c r="J9" s="64" t="s">
        <v>182</v>
      </c>
      <c r="K9" s="66">
        <v>16100</v>
      </c>
    </row>
    <row r="10" spans="1:13">
      <c r="A10" s="71"/>
      <c r="B10" s="72" t="s">
        <v>183</v>
      </c>
      <c r="C10" s="71" t="s">
        <v>180</v>
      </c>
      <c r="D10" s="73">
        <f>D72*$G$72*10^-6</f>
        <v>3.2353401009425418</v>
      </c>
      <c r="E10" s="73">
        <f>E72*$G$72*10^-6</f>
        <v>1.2540077910630005E-4</v>
      </c>
      <c r="F10" s="73">
        <f>F72*$G$72*10^-6</f>
        <v>2.5080155821260009E-5</v>
      </c>
      <c r="G10" s="69">
        <f t="shared" si="0"/>
        <v>3.2457483656083648</v>
      </c>
      <c r="H10" s="74" t="s">
        <v>181</v>
      </c>
      <c r="I10" s="75"/>
      <c r="J10" s="62" t="s">
        <v>184</v>
      </c>
    </row>
    <row r="11" spans="1:13">
      <c r="A11" s="71"/>
      <c r="B11" s="72" t="s">
        <v>185</v>
      </c>
      <c r="C11" s="71" t="s">
        <v>180</v>
      </c>
      <c r="D11" s="73">
        <f>D73*$G$73*10^-6</f>
        <v>2.6987220000000001</v>
      </c>
      <c r="E11" s="73">
        <f>E73*$G$73*10^-6</f>
        <v>1.0925999999999999E-4</v>
      </c>
      <c r="F11" s="73">
        <f>F73*$G$73*10^-6</f>
        <v>2.1852E-5</v>
      </c>
      <c r="G11" s="69">
        <f t="shared" si="0"/>
        <v>2.7077905800000002</v>
      </c>
      <c r="H11" s="74" t="s">
        <v>173</v>
      </c>
      <c r="I11" s="75"/>
    </row>
    <row r="12" spans="1:13">
      <c r="A12" s="71"/>
      <c r="B12" s="72" t="s">
        <v>186</v>
      </c>
      <c r="C12" s="71" t="s">
        <v>36</v>
      </c>
      <c r="D12" s="73">
        <f>D74*$G$74*10^-6</f>
        <v>3.0866199999999999</v>
      </c>
      <c r="E12" s="73">
        <f t="shared" ref="E12:F12" si="3">E74*$G$74*10^-6</f>
        <v>3.1399999999999998E-5</v>
      </c>
      <c r="F12" s="73">
        <f t="shared" si="3"/>
        <v>4.7099999999999993E-5</v>
      </c>
      <c r="G12" s="69">
        <f t="shared" si="0"/>
        <v>3.1000435</v>
      </c>
      <c r="H12" s="74" t="s">
        <v>173</v>
      </c>
      <c r="I12" s="75"/>
      <c r="L12" s="76" t="s">
        <v>4</v>
      </c>
    </row>
    <row r="13" spans="1:13">
      <c r="A13" s="71"/>
      <c r="B13" s="72" t="s">
        <v>187</v>
      </c>
      <c r="C13" s="71" t="s">
        <v>36</v>
      </c>
      <c r="D13" s="73">
        <f>D75*$G$75*10^-6</f>
        <v>2.534157</v>
      </c>
      <c r="E13" s="73">
        <f t="shared" ref="E13:F13" si="4">E75*$G$75*10^-6</f>
        <v>2.637E-5</v>
      </c>
      <c r="F13" s="73">
        <f t="shared" si="4"/>
        <v>3.9554999999999997E-5</v>
      </c>
      <c r="G13" s="69">
        <f t="shared" si="0"/>
        <v>2.5454301749999999</v>
      </c>
      <c r="H13" s="74" t="s">
        <v>173</v>
      </c>
      <c r="I13" s="75"/>
      <c r="J13" s="62" t="s">
        <v>188</v>
      </c>
      <c r="K13" s="62" t="s">
        <v>189</v>
      </c>
      <c r="L13" s="77">
        <v>2.1019999999999999</v>
      </c>
      <c r="M13" s="62" t="s">
        <v>53</v>
      </c>
    </row>
    <row r="14" spans="1:13">
      <c r="A14" s="71"/>
      <c r="B14" s="72" t="s">
        <v>190</v>
      </c>
      <c r="C14" s="71" t="s">
        <v>180</v>
      </c>
      <c r="D14" s="73">
        <f>D76*$G$76*10^-6</f>
        <v>2.4688949999999998</v>
      </c>
      <c r="E14" s="73">
        <f>E76*$G$76*10^-6</f>
        <v>1.0359E-4</v>
      </c>
      <c r="F14" s="73">
        <f t="shared" ref="F14" si="5">F76*$G$76*10^-6</f>
        <v>2.0718000000000001E-5</v>
      </c>
      <c r="G14" s="69">
        <f t="shared" si="0"/>
        <v>2.4774929700000001</v>
      </c>
      <c r="H14" s="74" t="s">
        <v>173</v>
      </c>
      <c r="I14" s="75"/>
      <c r="K14" s="62" t="s">
        <v>191</v>
      </c>
      <c r="L14" s="77">
        <v>0.79479999999999995</v>
      </c>
      <c r="M14" s="62" t="s">
        <v>55</v>
      </c>
    </row>
    <row r="15" spans="1:13">
      <c r="A15" s="71"/>
      <c r="B15" s="72" t="s">
        <v>192</v>
      </c>
      <c r="C15" s="71" t="s">
        <v>180</v>
      </c>
      <c r="D15" s="73">
        <f>D77*$G$77*10^-6</f>
        <v>1.6797219999999999</v>
      </c>
      <c r="E15" s="73">
        <f t="shared" ref="E15:F15" si="6">E77*$G$77*10^-6</f>
        <v>2.6619999999999999E-5</v>
      </c>
      <c r="F15" s="73">
        <f t="shared" si="6"/>
        <v>2.6620000000000001E-6</v>
      </c>
      <c r="G15" s="69">
        <f t="shared" si="0"/>
        <v>1.6812260299999999</v>
      </c>
      <c r="H15" s="74" t="s">
        <v>173</v>
      </c>
      <c r="I15" s="75"/>
      <c r="K15" s="62" t="s">
        <v>58</v>
      </c>
      <c r="L15" s="77">
        <v>2.3199999999999998</v>
      </c>
      <c r="M15" s="62" t="s">
        <v>53</v>
      </c>
    </row>
    <row r="16" spans="1:13">
      <c r="A16" s="67"/>
      <c r="B16" s="72" t="s">
        <v>192</v>
      </c>
      <c r="C16" s="71" t="s">
        <v>36</v>
      </c>
      <c r="D16" s="73">
        <f>D15/0.54</f>
        <v>3.1105962962962961</v>
      </c>
      <c r="E16" s="73">
        <f t="shared" ref="E16:F16" si="7">E15/0.54</f>
        <v>4.9296296296296292E-5</v>
      </c>
      <c r="F16" s="73">
        <f t="shared" si="7"/>
        <v>4.9296296296296292E-6</v>
      </c>
      <c r="G16" s="69">
        <f>D16+(E16*$K$5)+(F16*$K$7)</f>
        <v>3.1133815370370366</v>
      </c>
      <c r="H16" s="74" t="s">
        <v>193</v>
      </c>
      <c r="I16" s="75"/>
      <c r="K16" s="62" t="s">
        <v>194</v>
      </c>
      <c r="L16" s="78">
        <v>4.3548999999999998</v>
      </c>
      <c r="M16" s="62" t="s">
        <v>53</v>
      </c>
    </row>
    <row r="17" spans="1:9">
      <c r="A17" s="67"/>
      <c r="B17" s="72" t="s">
        <v>195</v>
      </c>
      <c r="C17" s="71" t="s">
        <v>180</v>
      </c>
      <c r="D17" s="73">
        <f>D78*$G$78*10^-6</f>
        <v>2.1815639999999998</v>
      </c>
      <c r="E17" s="73">
        <f t="shared" ref="E17:F17" si="8">E78*$G$78*10^-6</f>
        <v>9.4439999999999997E-5</v>
      </c>
      <c r="F17" s="73">
        <f t="shared" si="8"/>
        <v>1.8887999999999996E-5</v>
      </c>
      <c r="G17" s="69">
        <f>D17+(E17*$K$5)+(F17*$K$7)</f>
        <v>2.1894025199999998</v>
      </c>
      <c r="H17" s="74" t="s">
        <v>173</v>
      </c>
      <c r="I17" s="75"/>
    </row>
    <row r="18" spans="1:9">
      <c r="A18" s="67"/>
      <c r="B18" s="72" t="s">
        <v>196</v>
      </c>
      <c r="C18" s="71" t="s">
        <v>36</v>
      </c>
      <c r="D18" s="73"/>
      <c r="E18" s="73">
        <f>E79*$G$79*10^-6</f>
        <v>4.7969999999999995E-4</v>
      </c>
      <c r="F18" s="73">
        <f>F79*$G$79*10^-6</f>
        <v>6.3960000000000004E-5</v>
      </c>
      <c r="G18" s="69">
        <f>D18+(E18*$K$6)+(F18*$K$7)</f>
        <v>3.0380999999999998E-2</v>
      </c>
      <c r="H18" s="74" t="s">
        <v>173</v>
      </c>
      <c r="I18" s="75"/>
    </row>
    <row r="19" spans="1:9">
      <c r="A19" s="67"/>
      <c r="B19" s="72" t="s">
        <v>197</v>
      </c>
      <c r="C19" s="71" t="s">
        <v>36</v>
      </c>
      <c r="D19" s="73"/>
      <c r="E19" s="73">
        <f>E81*$G$81*10^-6</f>
        <v>2.2589999999999999E-4</v>
      </c>
      <c r="F19" s="73">
        <f>F81*$G$81*10^-6</f>
        <v>3.012E-5</v>
      </c>
      <c r="G19" s="69">
        <f t="shared" ref="G19:G22" si="9">D19+(E19*$K$6)+(F19*$K$7)</f>
        <v>1.4307E-2</v>
      </c>
      <c r="H19" s="74" t="s">
        <v>173</v>
      </c>
      <c r="I19" s="75"/>
    </row>
    <row r="20" spans="1:9">
      <c r="A20" s="67"/>
      <c r="B20" s="72" t="s">
        <v>198</v>
      </c>
      <c r="C20" s="71" t="s">
        <v>36</v>
      </c>
      <c r="D20" s="73"/>
      <c r="E20" s="73">
        <f>E82*$G$82*10^-6</f>
        <v>5.5590000000000001E-4</v>
      </c>
      <c r="F20" s="73">
        <f>F82*$G$82*10^-6</f>
        <v>7.4120000000000002E-5</v>
      </c>
      <c r="G20" s="69">
        <f>D20+(E20*$K$6)+(F20*$K$7)</f>
        <v>3.5207000000000002E-2</v>
      </c>
      <c r="H20" s="74" t="s">
        <v>173</v>
      </c>
      <c r="I20" s="75"/>
    </row>
    <row r="21" spans="1:9">
      <c r="A21" s="67"/>
      <c r="B21" s="72" t="s">
        <v>199</v>
      </c>
      <c r="C21" s="71" t="s">
        <v>36</v>
      </c>
      <c r="D21" s="73"/>
      <c r="E21" s="73">
        <f t="shared" ref="E21:F21" si="10">E83*$G$83*10^-6</f>
        <v>5.0339999999999998E-4</v>
      </c>
      <c r="F21" s="73">
        <f t="shared" si="10"/>
        <v>6.7120000000000008E-5</v>
      </c>
      <c r="G21" s="69">
        <f>D21+(E21*$K$6)+(F21*$K$7)</f>
        <v>3.1882000000000001E-2</v>
      </c>
      <c r="H21" s="74" t="s">
        <v>173</v>
      </c>
      <c r="I21" s="75"/>
    </row>
    <row r="22" spans="1:9">
      <c r="A22" s="67"/>
      <c r="B22" s="72" t="s">
        <v>200</v>
      </c>
      <c r="C22" s="71" t="s">
        <v>56</v>
      </c>
      <c r="D22" s="73"/>
      <c r="E22" s="73">
        <f>E84*$G$84*10^-6</f>
        <v>2.0929999999999998E-5</v>
      </c>
      <c r="F22" s="73">
        <f>F84*$G$84*10^-6</f>
        <v>2.0929999999999997E-6</v>
      </c>
      <c r="G22" s="69">
        <f t="shared" si="9"/>
        <v>1.1406849999999998E-3</v>
      </c>
      <c r="H22" s="74" t="s">
        <v>173</v>
      </c>
      <c r="I22" s="75"/>
    </row>
    <row r="23" spans="1:9">
      <c r="A23" s="67"/>
      <c r="B23" s="72" t="s">
        <v>201</v>
      </c>
      <c r="C23" s="71" t="s">
        <v>36</v>
      </c>
      <c r="D23" s="73">
        <f>D79*$G$79*10^-6</f>
        <v>1.79088</v>
      </c>
      <c r="E23" s="73"/>
      <c r="F23" s="73"/>
      <c r="G23" s="69">
        <f>D23+(E23*$K$5)+(F23*$K$7)</f>
        <v>1.79088</v>
      </c>
      <c r="H23" s="74" t="s">
        <v>173</v>
      </c>
      <c r="I23" s="75"/>
    </row>
    <row r="24" spans="1:9">
      <c r="A24" s="67"/>
      <c r="B24" s="72" t="s">
        <v>202</v>
      </c>
      <c r="C24" s="71" t="s">
        <v>36</v>
      </c>
      <c r="D24" s="73">
        <f>D81*$G$81*10^-6</f>
        <v>0.753</v>
      </c>
      <c r="E24" s="73"/>
      <c r="F24" s="73"/>
      <c r="G24" s="69">
        <f>D24+(E24*$K$5)+(F24*$K$7)</f>
        <v>0.753</v>
      </c>
      <c r="H24" s="74" t="s">
        <v>173</v>
      </c>
      <c r="I24" s="75"/>
    </row>
    <row r="25" spans="1:9">
      <c r="A25" s="67"/>
      <c r="B25" s="72" t="s">
        <v>203</v>
      </c>
      <c r="C25" s="71" t="s">
        <v>36</v>
      </c>
      <c r="D25" s="73">
        <f>D82*$G$82*10^-6</f>
        <v>1.853</v>
      </c>
      <c r="E25" s="73"/>
      <c r="F25" s="73"/>
      <c r="G25" s="69">
        <f>D25+(E25*$K$5)+(F25*$K$7)</f>
        <v>1.853</v>
      </c>
      <c r="H25" s="74" t="s">
        <v>173</v>
      </c>
      <c r="I25" s="75"/>
    </row>
    <row r="26" spans="1:9">
      <c r="A26" s="67"/>
      <c r="B26" s="72" t="s">
        <v>204</v>
      </c>
      <c r="C26" s="71" t="s">
        <v>36</v>
      </c>
      <c r="D26" s="73">
        <f>D83*$G$83*10^-6</f>
        <v>1.6779999999999999</v>
      </c>
      <c r="E26" s="73"/>
      <c r="F26" s="73"/>
      <c r="G26" s="69">
        <f>D26+(E26*$K$5)+(F26*$K$7)</f>
        <v>1.6779999999999999</v>
      </c>
      <c r="H26" s="74" t="s">
        <v>173</v>
      </c>
      <c r="I26" s="75"/>
    </row>
    <row r="27" spans="1:9">
      <c r="A27" s="67"/>
      <c r="B27" s="72" t="s">
        <v>205</v>
      </c>
      <c r="C27" s="71" t="s">
        <v>56</v>
      </c>
      <c r="D27" s="73">
        <f>D84*$G$84*10^-6</f>
        <v>1.1427779999999998</v>
      </c>
      <c r="E27" s="73"/>
      <c r="F27" s="73"/>
      <c r="G27" s="69">
        <f>D27+(E27*$K$5)+(F27*$K$7)</f>
        <v>1.1427779999999998</v>
      </c>
      <c r="H27" s="74" t="s">
        <v>173</v>
      </c>
      <c r="I27" s="75"/>
    </row>
    <row r="28" spans="1:9">
      <c r="A28" s="67" t="s">
        <v>206</v>
      </c>
      <c r="B28" s="72"/>
      <c r="C28" s="71"/>
      <c r="D28" s="73"/>
      <c r="E28" s="73"/>
      <c r="F28" s="73"/>
      <c r="G28" s="69"/>
      <c r="H28" s="74"/>
      <c r="I28" s="75"/>
    </row>
    <row r="29" spans="1:9">
      <c r="A29" s="67"/>
      <c r="B29" s="72" t="s">
        <v>207</v>
      </c>
      <c r="C29" s="79" t="s">
        <v>180</v>
      </c>
      <c r="D29" s="73">
        <f>D90*$G$90*10^-6</f>
        <v>2.1815639999999998</v>
      </c>
      <c r="E29" s="73">
        <f>E90*$G$90*10^-6</f>
        <v>1.0388399999999999E-3</v>
      </c>
      <c r="F29" s="73">
        <f>F90*$G$90*10^-6</f>
        <v>1.0073600000000001E-4</v>
      </c>
      <c r="G29" s="69">
        <f t="shared" ref="G29:G35" si="11">D29+(E29*$K$5)+(F29*$K$7)</f>
        <v>2.2394242399999995</v>
      </c>
      <c r="H29" s="74" t="s">
        <v>208</v>
      </c>
      <c r="I29" s="75"/>
    </row>
    <row r="30" spans="1:9">
      <c r="A30" s="67"/>
      <c r="B30" s="72" t="s">
        <v>209</v>
      </c>
      <c r="C30" s="79" t="s">
        <v>180</v>
      </c>
      <c r="D30" s="73">
        <f>D91*$G$91*10^-6</f>
        <v>2.1815639999999998</v>
      </c>
      <c r="E30" s="73">
        <f t="shared" ref="E30:F30" si="12">E91*$G$91*10^-6</f>
        <v>7.8699999999999994E-4</v>
      </c>
      <c r="F30" s="73">
        <f t="shared" si="12"/>
        <v>2.5183999999999997E-4</v>
      </c>
      <c r="G30" s="69">
        <f t="shared" si="11"/>
        <v>2.2719116000000001</v>
      </c>
      <c r="H30" s="74" t="s">
        <v>208</v>
      </c>
      <c r="I30" s="75"/>
    </row>
    <row r="31" spans="1:9">
      <c r="A31" s="67"/>
      <c r="B31" s="72" t="s">
        <v>210</v>
      </c>
      <c r="C31" s="79" t="s">
        <v>180</v>
      </c>
      <c r="D31" s="73">
        <f>D92*$G$92*10^-6</f>
        <v>2.1815639999999998</v>
      </c>
      <c r="E31" s="73">
        <f t="shared" ref="E31:F31" si="13">E92*$G$92*10^-6</f>
        <v>1.1962399999999999E-4</v>
      </c>
      <c r="F31" s="73">
        <f t="shared" si="13"/>
        <v>1.7943599999999999E-4</v>
      </c>
      <c r="G31" s="69">
        <f t="shared" si="11"/>
        <v>2.2327032600000001</v>
      </c>
      <c r="H31" s="74" t="s">
        <v>208</v>
      </c>
      <c r="I31" s="75"/>
    </row>
    <row r="32" spans="1:9">
      <c r="A32" s="67"/>
      <c r="B32" s="72" t="s">
        <v>211</v>
      </c>
      <c r="C32" s="79" t="s">
        <v>180</v>
      </c>
      <c r="D32" s="73">
        <f>D93*$G$93*10^-6</f>
        <v>2.6987220000000001</v>
      </c>
      <c r="E32" s="73">
        <f t="shared" ref="E32" si="14">E93*$G$93*10^-6</f>
        <v>1.4203800000000001E-4</v>
      </c>
      <c r="F32" s="73">
        <f>F93*$G$93*10^-6</f>
        <v>1.4203800000000001E-4</v>
      </c>
      <c r="G32" s="69">
        <f t="shared" si="11"/>
        <v>2.7406232100000003</v>
      </c>
      <c r="H32" s="74" t="s">
        <v>208</v>
      </c>
      <c r="I32" s="75"/>
    </row>
    <row r="33" spans="1:9">
      <c r="A33" s="67"/>
      <c r="B33" s="72" t="s">
        <v>212</v>
      </c>
      <c r="C33" s="79" t="s">
        <v>36</v>
      </c>
      <c r="D33" s="73">
        <f>D94*$G$94*10^-6</f>
        <v>2.1261899999999998</v>
      </c>
      <c r="E33" s="73">
        <f t="shared" ref="E33:F33" si="15">E94*$G$94*10^-6</f>
        <v>3.4867999999999995E-3</v>
      </c>
      <c r="F33" s="73">
        <f t="shared" si="15"/>
        <v>1.1369999999999999E-4</v>
      </c>
      <c r="G33" s="69">
        <f t="shared" si="11"/>
        <v>2.2609244999999998</v>
      </c>
      <c r="H33" s="74" t="s">
        <v>213</v>
      </c>
      <c r="I33" s="75"/>
    </row>
    <row r="34" spans="1:9">
      <c r="A34" s="67"/>
      <c r="B34" s="72" t="s">
        <v>214</v>
      </c>
      <c r="C34" s="79" t="s">
        <v>180</v>
      </c>
      <c r="D34" s="73">
        <f>D95*$G$95*10^-6</f>
        <v>1.6797219999999999</v>
      </c>
      <c r="E34" s="73">
        <f t="shared" ref="E34:F34" si="16">E95*$G$95*10^-6</f>
        <v>1.65044E-3</v>
      </c>
      <c r="F34" s="73">
        <f t="shared" si="16"/>
        <v>5.3240000000000002E-6</v>
      </c>
      <c r="G34" s="69">
        <f t="shared" si="11"/>
        <v>1.73064606</v>
      </c>
      <c r="H34" s="74" t="s">
        <v>208</v>
      </c>
      <c r="I34" s="75"/>
    </row>
    <row r="35" spans="1:9">
      <c r="A35" s="67"/>
      <c r="B35" s="72" t="s">
        <v>214</v>
      </c>
      <c r="C35" s="71" t="s">
        <v>36</v>
      </c>
      <c r="D35" s="73">
        <f>D34/0.54</f>
        <v>3.1105962962962961</v>
      </c>
      <c r="E35" s="73">
        <f t="shared" ref="E35:F35" si="17">E34/0.54</f>
        <v>3.0563703703703703E-3</v>
      </c>
      <c r="F35" s="73">
        <f t="shared" si="17"/>
        <v>9.8592592592592585E-6</v>
      </c>
      <c r="G35" s="69">
        <f t="shared" si="11"/>
        <v>3.2049001111111108</v>
      </c>
      <c r="H35" s="74" t="s">
        <v>215</v>
      </c>
      <c r="I35" s="75"/>
    </row>
    <row r="36" spans="1:9">
      <c r="A36" s="67" t="s">
        <v>216</v>
      </c>
      <c r="B36" s="72"/>
      <c r="C36" s="71"/>
      <c r="D36" s="73"/>
      <c r="E36" s="73"/>
      <c r="F36" s="73"/>
      <c r="G36" s="69"/>
      <c r="H36" s="74"/>
      <c r="I36" s="75"/>
    </row>
    <row r="37" spans="1:9">
      <c r="A37" s="67"/>
      <c r="B37" s="80" t="s">
        <v>217</v>
      </c>
      <c r="C37" s="79"/>
      <c r="D37" s="73"/>
      <c r="E37" s="73"/>
      <c r="F37" s="73"/>
      <c r="G37" s="69"/>
      <c r="H37" s="74"/>
      <c r="I37" s="75"/>
    </row>
    <row r="38" spans="1:9">
      <c r="A38" s="67"/>
      <c r="B38" s="81" t="s">
        <v>218</v>
      </c>
      <c r="C38" s="79" t="s">
        <v>180</v>
      </c>
      <c r="D38" s="73">
        <f>D102*$G$102/(10^6)</f>
        <v>2.6987220000000001</v>
      </c>
      <c r="E38" s="73">
        <f t="shared" ref="E38:F38" si="18">E102*$G$102/(10^6)</f>
        <v>1.5114300000000004E-4</v>
      </c>
      <c r="F38" s="73">
        <f t="shared" si="18"/>
        <v>1.0416120000000001E-3</v>
      </c>
      <c r="G38" s="69">
        <f>D38+(E38*$K$5)+(F38*$K$7)</f>
        <v>2.9792834700000004</v>
      </c>
      <c r="H38" s="74" t="s">
        <v>219</v>
      </c>
      <c r="I38" s="75"/>
    </row>
    <row r="39" spans="1:9">
      <c r="A39" s="67"/>
      <c r="B39" s="81" t="s">
        <v>220</v>
      </c>
      <c r="C39" s="79" t="s">
        <v>180</v>
      </c>
      <c r="D39" s="73">
        <f>D103*$G$103/(10^6)</f>
        <v>2.6987220000000001</v>
      </c>
      <c r="E39" s="73">
        <f t="shared" ref="E39:F39" si="19">E103*$G$103/(10^6)</f>
        <v>1.5114300000000004E-4</v>
      </c>
      <c r="F39" s="73">
        <f t="shared" si="19"/>
        <v>1.0416120000000001E-3</v>
      </c>
      <c r="G39" s="69">
        <f>D39+(E39*$K$5)+(F39*$K$7)</f>
        <v>2.9792834700000004</v>
      </c>
      <c r="H39" s="74" t="s">
        <v>219</v>
      </c>
      <c r="I39" s="75"/>
    </row>
    <row r="40" spans="1:9">
      <c r="A40" s="67"/>
      <c r="B40" s="81" t="s">
        <v>221</v>
      </c>
      <c r="C40" s="79" t="s">
        <v>180</v>
      </c>
      <c r="D40" s="73">
        <f>D104*$G$104/(10^6)</f>
        <v>2.6987220000000001</v>
      </c>
      <c r="E40" s="73">
        <f t="shared" ref="E40:F40" si="20">E104*$G$104/(10^6)</f>
        <v>1.5114300000000004E-4</v>
      </c>
      <c r="F40" s="73">
        <f t="shared" si="20"/>
        <v>1.0416120000000001E-3</v>
      </c>
      <c r="G40" s="69">
        <f>D40+(E40*$K$5)+(F40*$K$7)</f>
        <v>2.9792834700000004</v>
      </c>
      <c r="H40" s="74" t="s">
        <v>219</v>
      </c>
      <c r="I40" s="75"/>
    </row>
    <row r="41" spans="1:9">
      <c r="A41" s="67"/>
      <c r="B41" s="81" t="s">
        <v>222</v>
      </c>
      <c r="C41" s="79" t="s">
        <v>180</v>
      </c>
      <c r="D41" s="73">
        <f>D105*$G$105/(10^6)</f>
        <v>2.6987220000000001</v>
      </c>
      <c r="E41" s="73">
        <f t="shared" ref="E41:F41" si="21">E105*$G$105/(10^6)</f>
        <v>1.5114300000000004E-4</v>
      </c>
      <c r="F41" s="73">
        <f t="shared" si="21"/>
        <v>1.0416120000000001E-3</v>
      </c>
      <c r="G41" s="69">
        <f>D41+(E41*$K$5)+(F41*$K$7)</f>
        <v>2.9792834700000004</v>
      </c>
      <c r="H41" s="74" t="s">
        <v>219</v>
      </c>
      <c r="I41" s="75"/>
    </row>
    <row r="42" spans="1:9">
      <c r="A42" s="67"/>
      <c r="B42" s="80" t="s">
        <v>223</v>
      </c>
      <c r="C42" s="79"/>
      <c r="D42" s="73"/>
      <c r="E42" s="73"/>
      <c r="F42" s="73"/>
      <c r="G42" s="69"/>
      <c r="H42" s="74"/>
      <c r="I42" s="75"/>
    </row>
    <row r="43" spans="1:9">
      <c r="A43" s="67"/>
      <c r="B43" s="81" t="s">
        <v>218</v>
      </c>
      <c r="C43" s="79" t="s">
        <v>180</v>
      </c>
      <c r="D43" s="73">
        <f>D107*$G$107/(10^6)</f>
        <v>2.1815639999999998</v>
      </c>
      <c r="E43" s="73">
        <f>E107*$G$107/(10^6)</f>
        <v>2.5184000000000001E-3</v>
      </c>
      <c r="F43" s="73">
        <f>F107*$G$107/(10^6)</f>
        <v>6.2960000000000007E-5</v>
      </c>
      <c r="G43" s="69">
        <f>D43+(E43*$K$5)+(F43*$K$7)</f>
        <v>2.2738003999999998</v>
      </c>
      <c r="H43" s="74" t="s">
        <v>219</v>
      </c>
      <c r="I43" s="75"/>
    </row>
    <row r="44" spans="1:9">
      <c r="A44" s="70"/>
      <c r="B44" s="81" t="s">
        <v>220</v>
      </c>
      <c r="C44" s="79" t="s">
        <v>180</v>
      </c>
      <c r="D44" s="73">
        <f>D108*$G$108/(10^6)</f>
        <v>2.1815639999999998</v>
      </c>
      <c r="E44" s="73">
        <f t="shared" ref="E44:F44" si="22">E108*$G$108/(10^6)</f>
        <v>0</v>
      </c>
      <c r="F44" s="73">
        <f t="shared" si="22"/>
        <v>0</v>
      </c>
      <c r="G44" s="69">
        <f>D44+(E44*$K$5)+(F44*$K$7)</f>
        <v>2.1815639999999998</v>
      </c>
      <c r="H44" s="74" t="s">
        <v>219</v>
      </c>
      <c r="I44" s="75"/>
    </row>
    <row r="45" spans="1:9">
      <c r="A45" s="70"/>
      <c r="B45" s="81" t="s">
        <v>221</v>
      </c>
      <c r="C45" s="79" t="s">
        <v>180</v>
      </c>
      <c r="D45" s="73">
        <f>D109*$G$109/(10^6)</f>
        <v>2.1815639999999998</v>
      </c>
      <c r="E45" s="73">
        <f t="shared" ref="E45:F45" si="23">E109*$G$109/(10^6)</f>
        <v>1.5740000000000001E-3</v>
      </c>
      <c r="F45" s="73">
        <f t="shared" si="23"/>
        <v>6.2960000000000007E-5</v>
      </c>
      <c r="G45" s="69">
        <f>D45+(E45*$K$5)+(F45*$K$7)</f>
        <v>2.2454683999999996</v>
      </c>
      <c r="H45" s="74" t="s">
        <v>219</v>
      </c>
      <c r="I45" s="75"/>
    </row>
    <row r="46" spans="1:9">
      <c r="A46" s="70"/>
      <c r="B46" s="81" t="s">
        <v>222</v>
      </c>
      <c r="C46" s="79" t="s">
        <v>180</v>
      </c>
      <c r="D46" s="73">
        <f>D110*$G$110/(10^6)</f>
        <v>2.1815639999999998</v>
      </c>
      <c r="E46" s="73">
        <f t="shared" ref="E46:F46" si="24">E110*$G$110/(10^6)</f>
        <v>3.7775999999999999E-3</v>
      </c>
      <c r="F46" s="73">
        <f t="shared" si="24"/>
        <v>6.2960000000000007E-5</v>
      </c>
      <c r="G46" s="69">
        <f>D46+(E46*$K$5)+(F46*$K$7)</f>
        <v>2.3115763999999999</v>
      </c>
      <c r="H46" s="74" t="s">
        <v>219</v>
      </c>
      <c r="I46" s="75"/>
    </row>
    <row r="47" spans="1:9">
      <c r="A47" s="67"/>
      <c r="B47" s="80" t="s">
        <v>224</v>
      </c>
      <c r="C47" s="79"/>
      <c r="D47" s="73"/>
      <c r="E47" s="73"/>
      <c r="F47" s="73"/>
      <c r="G47" s="69"/>
      <c r="H47" s="74"/>
      <c r="I47" s="75"/>
    </row>
    <row r="48" spans="1:9">
      <c r="A48" s="67"/>
      <c r="B48" s="81" t="s">
        <v>218</v>
      </c>
      <c r="C48" s="79" t="s">
        <v>180</v>
      </c>
      <c r="D48" s="73">
        <f>D112*$G$112/(10^6)</f>
        <v>2.1815639999999998</v>
      </c>
      <c r="E48" s="73">
        <f t="shared" ref="E48:F48" si="25">E112*$G$112/(10^6)</f>
        <v>4.4072E-3</v>
      </c>
      <c r="F48" s="73">
        <f t="shared" si="25"/>
        <v>1.2592000000000001E-5</v>
      </c>
      <c r="G48" s="69">
        <f>D48+(E48*$K$5)+(F48*$K$7)</f>
        <v>2.3171168799999999</v>
      </c>
      <c r="H48" s="74" t="s">
        <v>219</v>
      </c>
      <c r="I48" s="75"/>
    </row>
    <row r="49" spans="1:10">
      <c r="A49" s="70"/>
      <c r="B49" s="81" t="s">
        <v>220</v>
      </c>
      <c r="C49" s="79" t="s">
        <v>180</v>
      </c>
      <c r="D49" s="73">
        <f>D113*$G$113/(10^6)</f>
        <v>2.1815639999999998</v>
      </c>
      <c r="E49" s="73">
        <f t="shared" ref="E49:F49" si="26">E113*$G$113/(10^6)</f>
        <v>5.3516000000000006E-3</v>
      </c>
      <c r="F49" s="73">
        <f t="shared" si="26"/>
        <v>1.2592000000000001E-5</v>
      </c>
      <c r="G49" s="69">
        <f>D49+(E49*$K$5)+(F49*$K$7)</f>
        <v>2.3454488799999997</v>
      </c>
      <c r="H49" s="74" t="s">
        <v>219</v>
      </c>
      <c r="I49" s="75"/>
    </row>
    <row r="50" spans="1:10">
      <c r="A50" s="70"/>
      <c r="B50" s="81" t="s">
        <v>221</v>
      </c>
      <c r="C50" s="79" t="s">
        <v>180</v>
      </c>
      <c r="D50" s="73">
        <f>D114*$G$114/(10^6)</f>
        <v>2.1815639999999998</v>
      </c>
      <c r="E50" s="73">
        <f t="shared" ref="E50:F50" si="27">E114*$G$114/(10^6)</f>
        <v>4.0924000000000004E-3</v>
      </c>
      <c r="F50" s="73">
        <f t="shared" si="27"/>
        <v>1.2592000000000001E-5</v>
      </c>
      <c r="G50" s="69">
        <f>D50+(E50*$K$5)+(F50*$K$7)</f>
        <v>2.3076728799999997</v>
      </c>
      <c r="H50" s="74" t="s">
        <v>219</v>
      </c>
      <c r="I50" s="75"/>
    </row>
    <row r="51" spans="1:10">
      <c r="A51" s="70"/>
      <c r="B51" s="81" t="s">
        <v>222</v>
      </c>
      <c r="C51" s="79" t="s">
        <v>180</v>
      </c>
      <c r="D51" s="73">
        <f>D115*$G$115/(10^6)</f>
        <v>2.1815639999999998</v>
      </c>
      <c r="E51" s="73">
        <f t="shared" ref="E51" si="28">E115*$G$115/(10^6)</f>
        <v>5.6663999999999994E-3</v>
      </c>
      <c r="F51" s="73">
        <f>F115*$G$115/(10^6)</f>
        <v>1.2592000000000001E-5</v>
      </c>
      <c r="G51" s="69">
        <f>D51+(E51*$K$5)+(F51*$K$7)</f>
        <v>2.35489288</v>
      </c>
      <c r="H51" s="74" t="s">
        <v>219</v>
      </c>
      <c r="I51" s="75"/>
    </row>
    <row r="52" spans="1:10">
      <c r="A52" s="67" t="s">
        <v>225</v>
      </c>
      <c r="B52" s="81"/>
      <c r="C52" s="79"/>
      <c r="D52" s="73"/>
      <c r="E52" s="73"/>
      <c r="F52" s="73"/>
      <c r="G52" s="69"/>
      <c r="H52" s="74"/>
      <c r="I52" s="75"/>
    </row>
    <row r="53" spans="1:10" ht="42.75">
      <c r="A53" s="82"/>
      <c r="B53" s="83" t="s">
        <v>226</v>
      </c>
      <c r="C53" s="74" t="s">
        <v>50</v>
      </c>
      <c r="D53" s="73" t="s">
        <v>227</v>
      </c>
      <c r="E53" s="73" t="s">
        <v>227</v>
      </c>
      <c r="F53" s="73" t="s">
        <v>227</v>
      </c>
      <c r="G53" s="69">
        <v>0.49990000000000001</v>
      </c>
      <c r="H53" s="84" t="s">
        <v>228</v>
      </c>
      <c r="I53" s="75"/>
      <c r="J53" s="85"/>
    </row>
    <row r="54" spans="1:10">
      <c r="A54" s="86" t="s">
        <v>229</v>
      </c>
      <c r="B54" s="83"/>
      <c r="C54" s="74"/>
      <c r="D54" s="73"/>
      <c r="E54" s="73"/>
      <c r="F54" s="73"/>
      <c r="G54" s="69"/>
      <c r="H54" s="84"/>
      <c r="I54" s="75"/>
    </row>
    <row r="55" spans="1:10">
      <c r="A55" s="86"/>
      <c r="B55" s="83" t="s">
        <v>230</v>
      </c>
      <c r="C55" s="74" t="s">
        <v>36</v>
      </c>
      <c r="D55" s="73" t="s">
        <v>227</v>
      </c>
      <c r="E55" s="73" t="s">
        <v>227</v>
      </c>
      <c r="F55" s="73" t="s">
        <v>227</v>
      </c>
      <c r="G55" s="69">
        <v>1760</v>
      </c>
      <c r="H55" s="84" t="s">
        <v>231</v>
      </c>
      <c r="I55" s="75"/>
    </row>
    <row r="56" spans="1:10">
      <c r="A56" s="82"/>
      <c r="B56" s="83" t="s">
        <v>232</v>
      </c>
      <c r="C56" s="74" t="s">
        <v>36</v>
      </c>
      <c r="D56" s="73" t="s">
        <v>227</v>
      </c>
      <c r="E56" s="73" t="s">
        <v>227</v>
      </c>
      <c r="F56" s="73" t="s">
        <v>227</v>
      </c>
      <c r="G56" s="69">
        <v>677</v>
      </c>
      <c r="H56" s="84" t="s">
        <v>231</v>
      </c>
      <c r="I56" s="75"/>
    </row>
    <row r="57" spans="1:10">
      <c r="A57" s="82"/>
      <c r="B57" s="83" t="s">
        <v>233</v>
      </c>
      <c r="C57" s="74" t="s">
        <v>36</v>
      </c>
      <c r="D57" s="73" t="s">
        <v>227</v>
      </c>
      <c r="E57" s="73" t="s">
        <v>227</v>
      </c>
      <c r="F57" s="73" t="s">
        <v>227</v>
      </c>
      <c r="G57" s="69">
        <v>3170</v>
      </c>
      <c r="H57" s="84" t="s">
        <v>231</v>
      </c>
      <c r="I57" s="75"/>
    </row>
    <row r="58" spans="1:10">
      <c r="A58" s="82"/>
      <c r="B58" s="83" t="s">
        <v>234</v>
      </c>
      <c r="C58" s="74" t="s">
        <v>36</v>
      </c>
      <c r="D58" s="73" t="s">
        <v>227</v>
      </c>
      <c r="E58" s="73" t="s">
        <v>227</v>
      </c>
      <c r="F58" s="73" t="s">
        <v>227</v>
      </c>
      <c r="G58" s="69">
        <v>1120</v>
      </c>
      <c r="H58" s="84" t="s">
        <v>231</v>
      </c>
      <c r="I58" s="75"/>
    </row>
    <row r="59" spans="1:10">
      <c r="A59" s="82"/>
      <c r="B59" s="83" t="s">
        <v>235</v>
      </c>
      <c r="C59" s="74" t="s">
        <v>36</v>
      </c>
      <c r="D59" s="73" t="s">
        <v>227</v>
      </c>
      <c r="E59" s="73" t="s">
        <v>227</v>
      </c>
      <c r="F59" s="73" t="s">
        <v>227</v>
      </c>
      <c r="G59" s="69">
        <v>1300</v>
      </c>
      <c r="H59" s="84" t="s">
        <v>231</v>
      </c>
      <c r="I59" s="75"/>
    </row>
    <row r="60" spans="1:10">
      <c r="A60" s="82"/>
      <c r="B60" s="83" t="s">
        <v>236</v>
      </c>
      <c r="C60" s="74" t="s">
        <v>36</v>
      </c>
      <c r="D60" s="73" t="s">
        <v>227</v>
      </c>
      <c r="E60" s="73" t="s">
        <v>227</v>
      </c>
      <c r="F60" s="73" t="s">
        <v>227</v>
      </c>
      <c r="G60" s="69">
        <v>328</v>
      </c>
      <c r="H60" s="84" t="s">
        <v>231</v>
      </c>
      <c r="I60" s="75"/>
    </row>
    <row r="61" spans="1:10">
      <c r="A61" s="82"/>
      <c r="B61" s="83" t="s">
        <v>237</v>
      </c>
      <c r="C61" s="74" t="s">
        <v>36</v>
      </c>
      <c r="D61" s="73" t="s">
        <v>227</v>
      </c>
      <c r="E61" s="73" t="s">
        <v>227</v>
      </c>
      <c r="F61" s="73" t="s">
        <v>227</v>
      </c>
      <c r="G61" s="69">
        <v>4800</v>
      </c>
      <c r="H61" s="84" t="s">
        <v>231</v>
      </c>
      <c r="I61" s="75"/>
    </row>
    <row r="62" spans="1:10">
      <c r="A62" s="87"/>
      <c r="B62" s="88"/>
      <c r="C62" s="89"/>
      <c r="D62" s="90"/>
      <c r="E62" s="90"/>
      <c r="F62" s="90"/>
      <c r="G62" s="91"/>
      <c r="H62" s="92"/>
      <c r="I62" s="75"/>
    </row>
    <row r="63" spans="1:10">
      <c r="A63" s="62" t="s">
        <v>238</v>
      </c>
      <c r="B63" s="93"/>
      <c r="C63" s="76"/>
      <c r="D63" s="90"/>
      <c r="E63" s="94" t="s">
        <v>239</v>
      </c>
      <c r="F63" s="90"/>
      <c r="G63" s="91"/>
      <c r="H63" s="89"/>
      <c r="I63" s="75"/>
    </row>
    <row r="64" spans="1:10">
      <c r="B64" s="93"/>
      <c r="C64" s="76"/>
      <c r="D64" s="90"/>
      <c r="E64" s="90"/>
      <c r="F64" s="90"/>
      <c r="G64" s="91"/>
      <c r="H64" s="89"/>
      <c r="I64" s="75"/>
    </row>
    <row r="65" spans="1:12" s="100" customFormat="1">
      <c r="A65" s="95" t="s">
        <v>169</v>
      </c>
      <c r="B65" s="96"/>
      <c r="C65" s="96"/>
      <c r="D65" s="97"/>
      <c r="E65" s="98"/>
      <c r="F65" s="97"/>
      <c r="G65" s="99"/>
    </row>
    <row r="66" spans="1:12">
      <c r="D66" s="101"/>
      <c r="E66" s="102" t="s">
        <v>240</v>
      </c>
      <c r="F66" s="102"/>
      <c r="G66" s="103" t="s">
        <v>241</v>
      </c>
    </row>
    <row r="67" spans="1:12" ht="14.25" customHeight="1">
      <c r="B67" s="72"/>
      <c r="C67" s="71"/>
      <c r="D67" s="290" t="s">
        <v>242</v>
      </c>
      <c r="E67" s="290"/>
      <c r="F67" s="290"/>
      <c r="G67" s="105" t="s">
        <v>243</v>
      </c>
    </row>
    <row r="68" spans="1:12">
      <c r="B68" s="72"/>
      <c r="C68" s="71" t="s">
        <v>244</v>
      </c>
      <c r="D68" s="104" t="s">
        <v>168</v>
      </c>
      <c r="E68" s="71" t="s">
        <v>174</v>
      </c>
      <c r="F68" s="71" t="s">
        <v>176</v>
      </c>
      <c r="G68" s="105" t="s">
        <v>245</v>
      </c>
    </row>
    <row r="69" spans="1:12">
      <c r="B69" s="72" t="s">
        <v>171</v>
      </c>
      <c r="C69" s="71" t="s">
        <v>172</v>
      </c>
      <c r="D69" s="106">
        <v>56100</v>
      </c>
      <c r="E69" s="107">
        <v>1</v>
      </c>
      <c r="F69" s="107">
        <v>0.1</v>
      </c>
      <c r="G69" s="105">
        <v>1.02</v>
      </c>
      <c r="H69" s="62" t="s">
        <v>246</v>
      </c>
    </row>
    <row r="70" spans="1:12">
      <c r="B70" s="72" t="s">
        <v>177</v>
      </c>
      <c r="C70" s="71" t="s">
        <v>36</v>
      </c>
      <c r="D70" s="106">
        <v>101000</v>
      </c>
      <c r="E70" s="107">
        <v>1</v>
      </c>
      <c r="F70" s="107">
        <v>1.5</v>
      </c>
      <c r="G70" s="105">
        <v>10.47</v>
      </c>
    </row>
    <row r="71" spans="1:12">
      <c r="B71" s="72" t="s">
        <v>247</v>
      </c>
      <c r="C71" s="71" t="s">
        <v>180</v>
      </c>
      <c r="D71" s="106">
        <v>77400</v>
      </c>
      <c r="E71" s="107">
        <v>3</v>
      </c>
      <c r="F71" s="107">
        <v>0.6</v>
      </c>
      <c r="G71" s="105">
        <v>41.468972149500026</v>
      </c>
      <c r="H71" s="62" t="s">
        <v>248</v>
      </c>
      <c r="K71" s="76"/>
      <c r="L71" s="108"/>
    </row>
    <row r="72" spans="1:12">
      <c r="B72" s="72" t="s">
        <v>249</v>
      </c>
      <c r="C72" s="71" t="s">
        <v>180</v>
      </c>
      <c r="D72" s="106">
        <v>77400</v>
      </c>
      <c r="E72" s="107">
        <v>3</v>
      </c>
      <c r="F72" s="107">
        <v>0.6</v>
      </c>
      <c r="G72" s="105">
        <v>41.800259702100021</v>
      </c>
      <c r="H72" s="62" t="s">
        <v>248</v>
      </c>
      <c r="K72" s="76"/>
      <c r="L72" s="108"/>
    </row>
    <row r="73" spans="1:12">
      <c r="B73" s="72" t="s">
        <v>185</v>
      </c>
      <c r="C73" s="71" t="s">
        <v>180</v>
      </c>
      <c r="D73" s="106">
        <v>74100</v>
      </c>
      <c r="E73" s="107">
        <v>3</v>
      </c>
      <c r="F73" s="107">
        <v>0.6</v>
      </c>
      <c r="G73" s="105">
        <v>36.42</v>
      </c>
    </row>
    <row r="74" spans="1:12">
      <c r="B74" s="72" t="s">
        <v>186</v>
      </c>
      <c r="C74" s="71" t="s">
        <v>36</v>
      </c>
      <c r="D74" s="106">
        <v>98300</v>
      </c>
      <c r="E74" s="107">
        <v>1</v>
      </c>
      <c r="F74" s="107">
        <v>1.5</v>
      </c>
      <c r="G74" s="105">
        <v>31.4</v>
      </c>
    </row>
    <row r="75" spans="1:12">
      <c r="B75" s="109" t="s">
        <v>187</v>
      </c>
      <c r="C75" s="107" t="s">
        <v>36</v>
      </c>
      <c r="D75" s="106">
        <v>96100</v>
      </c>
      <c r="E75" s="107">
        <v>1</v>
      </c>
      <c r="F75" s="107">
        <v>1.5</v>
      </c>
      <c r="G75" s="105">
        <v>26.37</v>
      </c>
    </row>
    <row r="76" spans="1:12">
      <c r="B76" s="72" t="s">
        <v>190</v>
      </c>
      <c r="C76" s="71" t="s">
        <v>180</v>
      </c>
      <c r="D76" s="106">
        <v>71500</v>
      </c>
      <c r="E76" s="107">
        <v>3</v>
      </c>
      <c r="F76" s="107">
        <v>0.6</v>
      </c>
      <c r="G76" s="105">
        <v>34.53</v>
      </c>
    </row>
    <row r="77" spans="1:12">
      <c r="B77" s="72" t="s">
        <v>192</v>
      </c>
      <c r="C77" s="71" t="s">
        <v>180</v>
      </c>
      <c r="D77" s="106">
        <v>63100</v>
      </c>
      <c r="E77" s="107">
        <v>1</v>
      </c>
      <c r="F77" s="107">
        <v>0.1</v>
      </c>
      <c r="G77" s="105">
        <v>26.62</v>
      </c>
    </row>
    <row r="78" spans="1:12">
      <c r="B78" s="72" t="s">
        <v>195</v>
      </c>
      <c r="C78" s="71" t="s">
        <v>180</v>
      </c>
      <c r="D78" s="106">
        <v>69300</v>
      </c>
      <c r="E78" s="107">
        <v>3</v>
      </c>
      <c r="F78" s="107">
        <v>0.6</v>
      </c>
      <c r="G78" s="105">
        <f>G90</f>
        <v>31.48</v>
      </c>
    </row>
    <row r="79" spans="1:12">
      <c r="B79" s="72" t="s">
        <v>250</v>
      </c>
      <c r="C79" s="71" t="s">
        <v>36</v>
      </c>
      <c r="D79" s="106">
        <v>112000</v>
      </c>
      <c r="E79" s="107">
        <v>30</v>
      </c>
      <c r="F79" s="107">
        <v>4</v>
      </c>
      <c r="G79" s="105">
        <v>15.99</v>
      </c>
    </row>
    <row r="80" spans="1:12">
      <c r="B80" s="72" t="s">
        <v>251</v>
      </c>
      <c r="C80" s="71"/>
      <c r="D80" s="106"/>
      <c r="E80" s="107"/>
      <c r="F80" s="107"/>
      <c r="G80" s="105"/>
    </row>
    <row r="81" spans="1:8">
      <c r="B81" s="72" t="s">
        <v>197</v>
      </c>
      <c r="C81" s="71" t="s">
        <v>36</v>
      </c>
      <c r="D81" s="106">
        <v>100000</v>
      </c>
      <c r="E81" s="107">
        <v>30</v>
      </c>
      <c r="F81" s="107">
        <v>4</v>
      </c>
      <c r="G81" s="105">
        <v>7.53</v>
      </c>
    </row>
    <row r="82" spans="1:8">
      <c r="B82" s="72" t="s">
        <v>198</v>
      </c>
      <c r="C82" s="71" t="s">
        <v>36</v>
      </c>
      <c r="D82" s="106">
        <v>100000</v>
      </c>
      <c r="E82" s="107">
        <v>30</v>
      </c>
      <c r="F82" s="107">
        <v>4</v>
      </c>
      <c r="G82" s="105">
        <v>18.53</v>
      </c>
    </row>
    <row r="83" spans="1:8">
      <c r="B83" s="72" t="s">
        <v>199</v>
      </c>
      <c r="C83" s="71" t="s">
        <v>36</v>
      </c>
      <c r="D83" s="106">
        <v>100000</v>
      </c>
      <c r="E83" s="107">
        <v>30</v>
      </c>
      <c r="F83" s="107">
        <v>4</v>
      </c>
      <c r="G83" s="105">
        <v>16.78</v>
      </c>
    </row>
    <row r="84" spans="1:8" ht="15.75">
      <c r="B84" s="72" t="s">
        <v>200</v>
      </c>
      <c r="C84" s="71" t="s">
        <v>252</v>
      </c>
      <c r="D84" s="106">
        <v>54600</v>
      </c>
      <c r="E84" s="107">
        <v>1</v>
      </c>
      <c r="F84" s="107">
        <v>0.1</v>
      </c>
      <c r="G84" s="105">
        <v>20.93</v>
      </c>
    </row>
    <row r="85" spans="1:8">
      <c r="D85" s="101"/>
      <c r="E85" s="101"/>
      <c r="F85" s="101"/>
      <c r="G85" s="103"/>
    </row>
    <row r="86" spans="1:8" s="100" customFormat="1">
      <c r="A86" s="95" t="s">
        <v>206</v>
      </c>
      <c r="B86" s="96"/>
      <c r="C86" s="96"/>
      <c r="D86" s="97"/>
      <c r="E86" s="98"/>
      <c r="F86" s="97"/>
      <c r="G86" s="99"/>
    </row>
    <row r="87" spans="1:8">
      <c r="D87" s="291" t="s">
        <v>240</v>
      </c>
      <c r="E87" s="291"/>
      <c r="F87" s="291"/>
      <c r="G87" s="103" t="s">
        <v>241</v>
      </c>
    </row>
    <row r="88" spans="1:8">
      <c r="B88" s="72"/>
      <c r="C88" s="70"/>
      <c r="D88" s="292" t="s">
        <v>242</v>
      </c>
      <c r="E88" s="293"/>
      <c r="F88" s="294"/>
      <c r="G88" s="105" t="s">
        <v>243</v>
      </c>
    </row>
    <row r="89" spans="1:8">
      <c r="B89" s="72"/>
      <c r="C89" s="79" t="s">
        <v>244</v>
      </c>
      <c r="D89" s="71" t="s">
        <v>168</v>
      </c>
      <c r="E89" s="104" t="s">
        <v>174</v>
      </c>
      <c r="F89" s="71" t="s">
        <v>176</v>
      </c>
      <c r="G89" s="105" t="s">
        <v>245</v>
      </c>
    </row>
    <row r="90" spans="1:8">
      <c r="B90" s="72" t="s">
        <v>207</v>
      </c>
      <c r="C90" s="79" t="s">
        <v>180</v>
      </c>
      <c r="D90" s="71">
        <v>69300</v>
      </c>
      <c r="E90" s="110">
        <v>33</v>
      </c>
      <c r="F90" s="71">
        <v>3.2</v>
      </c>
      <c r="G90" s="105">
        <v>31.48</v>
      </c>
      <c r="H90" s="62" t="s">
        <v>253</v>
      </c>
    </row>
    <row r="91" spans="1:8">
      <c r="B91" s="72" t="s">
        <v>254</v>
      </c>
      <c r="C91" s="79" t="s">
        <v>180</v>
      </c>
      <c r="D91" s="71">
        <v>69300</v>
      </c>
      <c r="E91" s="110">
        <v>25</v>
      </c>
      <c r="F91" s="71">
        <v>8</v>
      </c>
      <c r="G91" s="105">
        <v>31.48</v>
      </c>
    </row>
    <row r="92" spans="1:8">
      <c r="B92" s="72" t="s">
        <v>210</v>
      </c>
      <c r="C92" s="79" t="s">
        <v>180</v>
      </c>
      <c r="D92" s="71">
        <v>69300</v>
      </c>
      <c r="E92" s="110">
        <v>3.8</v>
      </c>
      <c r="F92" s="71">
        <v>5.7</v>
      </c>
      <c r="G92" s="105">
        <v>31.48</v>
      </c>
    </row>
    <row r="93" spans="1:8">
      <c r="B93" s="72" t="s">
        <v>211</v>
      </c>
      <c r="C93" s="79" t="s">
        <v>180</v>
      </c>
      <c r="D93" s="71">
        <v>74100</v>
      </c>
      <c r="E93" s="110">
        <v>3.9</v>
      </c>
      <c r="F93" s="71">
        <v>3.9</v>
      </c>
      <c r="G93" s="105">
        <f>G73</f>
        <v>36.42</v>
      </c>
    </row>
    <row r="94" spans="1:8">
      <c r="B94" s="72" t="s">
        <v>212</v>
      </c>
      <c r="C94" s="79" t="s">
        <v>36</v>
      </c>
      <c r="D94" s="71">
        <v>56100</v>
      </c>
      <c r="E94" s="110">
        <v>92</v>
      </c>
      <c r="F94" s="71">
        <v>3</v>
      </c>
      <c r="G94" s="105">
        <v>37.9</v>
      </c>
      <c r="H94" s="62" t="s">
        <v>248</v>
      </c>
    </row>
    <row r="95" spans="1:8">
      <c r="B95" s="72" t="s">
        <v>214</v>
      </c>
      <c r="C95" s="79" t="s">
        <v>180</v>
      </c>
      <c r="D95" s="71">
        <v>63100</v>
      </c>
      <c r="E95" s="110">
        <v>62</v>
      </c>
      <c r="F95" s="71">
        <v>0.2</v>
      </c>
      <c r="G95" s="105">
        <f>G77</f>
        <v>26.62</v>
      </c>
    </row>
    <row r="96" spans="1:8">
      <c r="D96" s="101"/>
      <c r="E96" s="101"/>
      <c r="F96" s="101"/>
    </row>
    <row r="97" spans="1:7" s="100" customFormat="1">
      <c r="A97" s="95" t="s">
        <v>255</v>
      </c>
      <c r="B97" s="96"/>
      <c r="C97" s="96"/>
      <c r="D97" s="97"/>
      <c r="E97" s="98"/>
      <c r="F97" s="97"/>
      <c r="G97" s="99"/>
    </row>
    <row r="98" spans="1:7">
      <c r="D98" s="291" t="s">
        <v>240</v>
      </c>
      <c r="E98" s="291"/>
      <c r="F98" s="291"/>
      <c r="G98" s="103" t="s">
        <v>241</v>
      </c>
    </row>
    <row r="99" spans="1:7">
      <c r="B99" s="72"/>
      <c r="C99" s="70"/>
      <c r="D99" s="292" t="s">
        <v>242</v>
      </c>
      <c r="E99" s="293"/>
      <c r="F99" s="294"/>
      <c r="G99" s="105" t="s">
        <v>243</v>
      </c>
    </row>
    <row r="100" spans="1:7">
      <c r="B100" s="72"/>
      <c r="C100" s="79" t="s">
        <v>244</v>
      </c>
      <c r="D100" s="71" t="s">
        <v>168</v>
      </c>
      <c r="E100" s="104" t="s">
        <v>174</v>
      </c>
      <c r="F100" s="71" t="s">
        <v>176</v>
      </c>
      <c r="G100" s="105" t="s">
        <v>245</v>
      </c>
    </row>
    <row r="101" spans="1:7">
      <c r="B101" s="80" t="s">
        <v>217</v>
      </c>
      <c r="C101" s="79"/>
      <c r="D101" s="71"/>
      <c r="E101" s="110"/>
      <c r="F101" s="71"/>
      <c r="G101" s="105"/>
    </row>
    <row r="102" spans="1:7">
      <c r="B102" s="81" t="s">
        <v>218</v>
      </c>
      <c r="C102" s="79" t="s">
        <v>180</v>
      </c>
      <c r="D102" s="71">
        <v>74100</v>
      </c>
      <c r="E102" s="110">
        <v>4.1500000000000004</v>
      </c>
      <c r="F102" s="71">
        <v>28.6</v>
      </c>
      <c r="G102" s="105">
        <v>36.42</v>
      </c>
    </row>
    <row r="103" spans="1:7">
      <c r="B103" s="81" t="s">
        <v>220</v>
      </c>
      <c r="C103" s="79" t="s">
        <v>180</v>
      </c>
      <c r="D103" s="71">
        <v>74100</v>
      </c>
      <c r="E103" s="110">
        <v>4.1500000000000004</v>
      </c>
      <c r="F103" s="71">
        <v>28.6</v>
      </c>
      <c r="G103" s="105">
        <v>36.42</v>
      </c>
    </row>
    <row r="104" spans="1:7">
      <c r="B104" s="81" t="s">
        <v>221</v>
      </c>
      <c r="C104" s="79" t="s">
        <v>180</v>
      </c>
      <c r="D104" s="71">
        <v>74100</v>
      </c>
      <c r="E104" s="110">
        <v>4.1500000000000004</v>
      </c>
      <c r="F104" s="71">
        <v>28.6</v>
      </c>
      <c r="G104" s="105">
        <v>36.42</v>
      </c>
    </row>
    <row r="105" spans="1:7">
      <c r="B105" s="81" t="s">
        <v>222</v>
      </c>
      <c r="C105" s="79" t="s">
        <v>180</v>
      </c>
      <c r="D105" s="71">
        <v>74100</v>
      </c>
      <c r="E105" s="110">
        <v>4.1500000000000004</v>
      </c>
      <c r="F105" s="71">
        <v>28.6</v>
      </c>
      <c r="G105" s="105">
        <v>36.42</v>
      </c>
    </row>
    <row r="106" spans="1:7">
      <c r="B106" s="80" t="s">
        <v>223</v>
      </c>
      <c r="C106" s="79"/>
      <c r="D106" s="71"/>
      <c r="E106" s="110"/>
      <c r="F106" s="71"/>
      <c r="G106" s="105"/>
    </row>
    <row r="107" spans="1:7">
      <c r="B107" s="81" t="s">
        <v>218</v>
      </c>
      <c r="C107" s="79" t="s">
        <v>180</v>
      </c>
      <c r="D107" s="111">
        <v>69300</v>
      </c>
      <c r="E107" s="111">
        <v>80</v>
      </c>
      <c r="F107" s="111">
        <v>2</v>
      </c>
      <c r="G107" s="105">
        <v>31.48</v>
      </c>
    </row>
    <row r="108" spans="1:7">
      <c r="B108" s="81" t="s">
        <v>220</v>
      </c>
      <c r="C108" s="79" t="s">
        <v>180</v>
      </c>
      <c r="D108" s="111">
        <v>69300</v>
      </c>
      <c r="E108" s="111"/>
      <c r="F108" s="111"/>
      <c r="G108" s="105">
        <v>31.48</v>
      </c>
    </row>
    <row r="109" spans="1:7">
      <c r="B109" s="81" t="s">
        <v>221</v>
      </c>
      <c r="C109" s="79" t="s">
        <v>180</v>
      </c>
      <c r="D109" s="111">
        <v>69300</v>
      </c>
      <c r="E109" s="111">
        <v>50</v>
      </c>
      <c r="F109" s="111">
        <v>2</v>
      </c>
      <c r="G109" s="105">
        <v>31.48</v>
      </c>
    </row>
    <row r="110" spans="1:7">
      <c r="B110" s="81" t="s">
        <v>222</v>
      </c>
      <c r="C110" s="79" t="s">
        <v>180</v>
      </c>
      <c r="D110" s="111">
        <v>69300</v>
      </c>
      <c r="E110" s="111">
        <v>120</v>
      </c>
      <c r="F110" s="111">
        <v>2</v>
      </c>
      <c r="G110" s="105">
        <v>31.48</v>
      </c>
    </row>
    <row r="111" spans="1:7">
      <c r="B111" s="80" t="s">
        <v>224</v>
      </c>
      <c r="C111" s="70"/>
      <c r="D111" s="112"/>
      <c r="E111" s="112"/>
      <c r="F111" s="112"/>
      <c r="G111" s="113"/>
    </row>
    <row r="112" spans="1:7">
      <c r="B112" s="81" t="s">
        <v>218</v>
      </c>
      <c r="C112" s="79" t="s">
        <v>180</v>
      </c>
      <c r="D112" s="111">
        <v>69300</v>
      </c>
      <c r="E112" s="111">
        <v>140</v>
      </c>
      <c r="F112" s="111">
        <v>0.4</v>
      </c>
      <c r="G112" s="105">
        <v>31.48</v>
      </c>
    </row>
    <row r="113" spans="2:7">
      <c r="B113" s="81" t="s">
        <v>220</v>
      </c>
      <c r="C113" s="79" t="s">
        <v>180</v>
      </c>
      <c r="D113" s="111">
        <v>69300</v>
      </c>
      <c r="E113" s="111">
        <v>170</v>
      </c>
      <c r="F113" s="111">
        <v>0.4</v>
      </c>
      <c r="G113" s="105">
        <v>31.48</v>
      </c>
    </row>
    <row r="114" spans="2:7">
      <c r="B114" s="81" t="s">
        <v>221</v>
      </c>
      <c r="C114" s="79" t="s">
        <v>180</v>
      </c>
      <c r="D114" s="111">
        <v>69300</v>
      </c>
      <c r="E114" s="111">
        <v>130</v>
      </c>
      <c r="F114" s="111">
        <v>0.4</v>
      </c>
      <c r="G114" s="105">
        <v>31.48</v>
      </c>
    </row>
    <row r="115" spans="2:7">
      <c r="B115" s="81" t="s">
        <v>222</v>
      </c>
      <c r="C115" s="79" t="s">
        <v>180</v>
      </c>
      <c r="D115" s="111">
        <v>69300</v>
      </c>
      <c r="E115" s="111">
        <v>180</v>
      </c>
      <c r="F115" s="111">
        <v>0.4</v>
      </c>
      <c r="G115" s="105">
        <v>31.48</v>
      </c>
    </row>
    <row r="116" spans="2:7">
      <c r="D116" s="101"/>
      <c r="E116" s="101"/>
      <c r="F116" s="101"/>
    </row>
    <row r="117" spans="2:7">
      <c r="D117" s="101"/>
      <c r="E117" s="101"/>
      <c r="F117" s="101"/>
    </row>
    <row r="118" spans="2:7">
      <c r="D118" s="101"/>
      <c r="E118" s="101"/>
      <c r="F118" s="101"/>
    </row>
    <row r="119" spans="2:7">
      <c r="D119" s="101"/>
      <c r="E119" s="101"/>
      <c r="F119" s="101"/>
    </row>
    <row r="120" spans="2:7">
      <c r="D120" s="101"/>
      <c r="E120" s="101"/>
      <c r="F120" s="101"/>
    </row>
    <row r="121" spans="2:7">
      <c r="D121" s="101"/>
      <c r="E121" s="101"/>
      <c r="F121" s="101"/>
    </row>
    <row r="122" spans="2:7">
      <c r="D122" s="101"/>
      <c r="E122" s="101"/>
      <c r="F122" s="101"/>
    </row>
    <row r="123" spans="2:7">
      <c r="D123" s="101"/>
      <c r="E123" s="101"/>
      <c r="F123" s="101"/>
    </row>
    <row r="124" spans="2:7">
      <c r="D124" s="101"/>
      <c r="E124" s="101"/>
      <c r="F124" s="101"/>
    </row>
    <row r="125" spans="2:7">
      <c r="D125" s="101"/>
      <c r="E125" s="101"/>
      <c r="F125" s="101"/>
    </row>
    <row r="126" spans="2:7">
      <c r="D126" s="101"/>
      <c r="E126" s="101"/>
      <c r="F126" s="101"/>
    </row>
    <row r="127" spans="2:7">
      <c r="D127" s="101"/>
      <c r="E127" s="101"/>
      <c r="F127" s="101"/>
    </row>
    <row r="128" spans="2:7">
      <c r="D128" s="101"/>
      <c r="E128" s="101"/>
      <c r="F128" s="101"/>
    </row>
    <row r="129" spans="4:6">
      <c r="D129" s="101"/>
      <c r="E129" s="101"/>
      <c r="F129" s="101"/>
    </row>
    <row r="130" spans="4:6">
      <c r="D130" s="101"/>
      <c r="E130" s="101"/>
      <c r="F130" s="101"/>
    </row>
    <row r="131" spans="4:6">
      <c r="D131" s="101"/>
      <c r="E131" s="101"/>
      <c r="F131" s="101"/>
    </row>
    <row r="132" spans="4:6">
      <c r="D132" s="101"/>
      <c r="E132" s="101"/>
      <c r="F132" s="101"/>
    </row>
    <row r="133" spans="4:6">
      <c r="D133" s="101"/>
      <c r="E133" s="101"/>
      <c r="F133" s="101"/>
    </row>
    <row r="134" spans="4:6">
      <c r="D134" s="101"/>
      <c r="E134" s="101"/>
      <c r="F134" s="101"/>
    </row>
    <row r="135" spans="4:6">
      <c r="D135" s="101"/>
      <c r="E135" s="101"/>
      <c r="F135" s="101"/>
    </row>
    <row r="136" spans="4:6">
      <c r="D136" s="101"/>
      <c r="E136" s="101"/>
      <c r="F136" s="101"/>
    </row>
    <row r="137" spans="4:6">
      <c r="D137" s="101"/>
      <c r="E137" s="101"/>
      <c r="F137" s="101"/>
    </row>
    <row r="138" spans="4:6">
      <c r="D138" s="101"/>
      <c r="E138" s="101"/>
      <c r="F138" s="101"/>
    </row>
    <row r="139" spans="4:6">
      <c r="D139" s="101"/>
      <c r="E139" s="101"/>
      <c r="F139" s="101"/>
    </row>
    <row r="140" spans="4:6">
      <c r="D140" s="101"/>
      <c r="E140" s="101"/>
      <c r="F140" s="101"/>
    </row>
    <row r="141" spans="4:6">
      <c r="D141" s="101"/>
      <c r="E141" s="101"/>
      <c r="F141" s="101"/>
    </row>
    <row r="142" spans="4:6">
      <c r="D142" s="101"/>
      <c r="E142" s="101"/>
      <c r="F142" s="101"/>
    </row>
    <row r="143" spans="4:6">
      <c r="D143" s="101"/>
      <c r="E143" s="101"/>
      <c r="F143" s="101"/>
    </row>
    <row r="144" spans="4:6">
      <c r="D144" s="101"/>
      <c r="E144" s="101"/>
      <c r="F144" s="101"/>
    </row>
    <row r="145" spans="4:6">
      <c r="D145" s="101"/>
      <c r="E145" s="101"/>
      <c r="F145" s="101"/>
    </row>
    <row r="146" spans="4:6">
      <c r="D146" s="101"/>
      <c r="E146" s="101"/>
      <c r="F146" s="101"/>
    </row>
    <row r="147" spans="4:6">
      <c r="D147" s="101"/>
      <c r="E147" s="101"/>
      <c r="F147" s="101"/>
    </row>
    <row r="148" spans="4:6">
      <c r="D148" s="101"/>
      <c r="E148" s="101"/>
      <c r="F148" s="101"/>
    </row>
    <row r="149" spans="4:6">
      <c r="D149" s="101"/>
      <c r="E149" s="101"/>
      <c r="F149" s="101"/>
    </row>
    <row r="150" spans="4:6">
      <c r="D150" s="101"/>
      <c r="E150" s="101"/>
      <c r="F150" s="101"/>
    </row>
    <row r="151" spans="4:6">
      <c r="D151" s="101"/>
      <c r="E151" s="101"/>
      <c r="F151" s="101"/>
    </row>
    <row r="152" spans="4:6">
      <c r="D152" s="101"/>
      <c r="E152" s="101"/>
      <c r="F152" s="101"/>
    </row>
    <row r="153" spans="4:6">
      <c r="D153" s="101"/>
      <c r="E153" s="101"/>
      <c r="F153" s="101"/>
    </row>
    <row r="154" spans="4:6">
      <c r="D154" s="101"/>
      <c r="E154" s="101"/>
      <c r="F154" s="101"/>
    </row>
    <row r="155" spans="4:6">
      <c r="D155" s="101"/>
      <c r="E155" s="101"/>
      <c r="F155" s="101"/>
    </row>
    <row r="156" spans="4:6">
      <c r="D156" s="101"/>
      <c r="E156" s="101"/>
      <c r="F156" s="101"/>
    </row>
    <row r="157" spans="4:6">
      <c r="D157" s="101"/>
      <c r="E157" s="101"/>
      <c r="F157" s="101"/>
    </row>
    <row r="158" spans="4:6">
      <c r="D158" s="101"/>
      <c r="E158" s="101"/>
      <c r="F158" s="101"/>
    </row>
    <row r="159" spans="4:6">
      <c r="D159" s="101"/>
      <c r="E159" s="101"/>
      <c r="F159" s="101"/>
    </row>
    <row r="160" spans="4:6">
      <c r="D160" s="101"/>
      <c r="E160" s="101"/>
      <c r="F160" s="101"/>
    </row>
    <row r="161" spans="4:6">
      <c r="D161" s="101"/>
      <c r="E161" s="101"/>
      <c r="F161" s="101"/>
    </row>
    <row r="162" spans="4:6">
      <c r="D162" s="101"/>
      <c r="E162" s="101"/>
      <c r="F162" s="101"/>
    </row>
    <row r="163" spans="4:6">
      <c r="D163" s="101"/>
      <c r="E163" s="101"/>
      <c r="F163" s="101"/>
    </row>
    <row r="164" spans="4:6">
      <c r="D164" s="101"/>
      <c r="E164" s="101"/>
      <c r="F164" s="101"/>
    </row>
    <row r="165" spans="4:6">
      <c r="D165" s="101"/>
      <c r="E165" s="101"/>
      <c r="F165" s="101"/>
    </row>
    <row r="166" spans="4:6">
      <c r="D166" s="101"/>
      <c r="E166" s="101"/>
      <c r="F166" s="101"/>
    </row>
    <row r="167" spans="4:6">
      <c r="D167" s="101"/>
      <c r="E167" s="101"/>
      <c r="F167" s="101"/>
    </row>
    <row r="168" spans="4:6">
      <c r="D168" s="101"/>
      <c r="E168" s="101"/>
      <c r="F168" s="101"/>
    </row>
    <row r="169" spans="4:6">
      <c r="D169" s="101"/>
      <c r="E169" s="101"/>
      <c r="F169" s="101"/>
    </row>
    <row r="170" spans="4:6">
      <c r="D170" s="101"/>
      <c r="E170" s="101"/>
      <c r="F170" s="101"/>
    </row>
    <row r="171" spans="4:6">
      <c r="D171" s="101"/>
      <c r="E171" s="101"/>
      <c r="F171" s="101"/>
    </row>
    <row r="172" spans="4:6">
      <c r="D172" s="101"/>
      <c r="E172" s="101"/>
      <c r="F172" s="101"/>
    </row>
    <row r="173" spans="4:6">
      <c r="D173" s="101"/>
      <c r="E173" s="101"/>
      <c r="F173" s="101"/>
    </row>
    <row r="174" spans="4:6">
      <c r="D174" s="101"/>
      <c r="E174" s="101"/>
      <c r="F174" s="101"/>
    </row>
    <row r="175" spans="4:6">
      <c r="D175" s="101"/>
      <c r="E175" s="101"/>
      <c r="F175" s="101"/>
    </row>
    <row r="176" spans="4:6">
      <c r="D176" s="101"/>
      <c r="E176" s="101"/>
      <c r="F176" s="101"/>
    </row>
    <row r="177" spans="4:6">
      <c r="D177" s="101"/>
      <c r="E177" s="101"/>
      <c r="F177" s="101"/>
    </row>
    <row r="178" spans="4:6">
      <c r="D178" s="101"/>
      <c r="E178" s="101"/>
      <c r="F178" s="101"/>
    </row>
    <row r="179" spans="4:6">
      <c r="D179" s="101"/>
      <c r="E179" s="101"/>
      <c r="F179" s="101"/>
    </row>
    <row r="180" spans="4:6">
      <c r="D180" s="101"/>
      <c r="E180" s="101"/>
      <c r="F180" s="101"/>
    </row>
    <row r="181" spans="4:6">
      <c r="D181" s="101"/>
      <c r="E181" s="101"/>
      <c r="F181" s="101"/>
    </row>
    <row r="182" spans="4:6">
      <c r="D182" s="101"/>
      <c r="E182" s="101"/>
      <c r="F182" s="101"/>
    </row>
    <row r="183" spans="4:6">
      <c r="D183" s="101"/>
      <c r="E183" s="101"/>
      <c r="F183" s="101"/>
    </row>
    <row r="184" spans="4:6">
      <c r="D184" s="101"/>
      <c r="E184" s="101"/>
      <c r="F184" s="101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8fd10d-82db-4106-8c5b-83cd3e4ad2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89CDA5892614FBD5176687F996656" ma:contentTypeVersion="16" ma:contentTypeDescription="Create a new document." ma:contentTypeScope="" ma:versionID="224aee30ab98573123b2948b9eb4fbbf">
  <xsd:schema xmlns:xsd="http://www.w3.org/2001/XMLSchema" xmlns:xs="http://www.w3.org/2001/XMLSchema" xmlns:p="http://schemas.microsoft.com/office/2006/metadata/properties" xmlns:ns3="7b8fd10d-82db-4106-8c5b-83cd3e4ad2c7" xmlns:ns4="abcb2651-95fa-414f-a10c-971ab93c7c80" targetNamespace="http://schemas.microsoft.com/office/2006/metadata/properties" ma:root="true" ma:fieldsID="35e8a1d91f3affbad42a72f8f9e048d5" ns3:_="" ns4:_="">
    <xsd:import namespace="7b8fd10d-82db-4106-8c5b-83cd3e4ad2c7"/>
    <xsd:import namespace="abcb2651-95fa-414f-a10c-971ab93c7c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fd10d-82db-4106-8c5b-83cd3e4ad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b2651-95fa-414f-a10c-971ab93c7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1A4E4-5374-4A28-AFAE-9E2859F6D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33C5A-34C9-41CF-9AB8-07ABD4839EE8}">
  <ds:schemaRefs>
    <ds:schemaRef ds:uri="http://schemas.microsoft.com/office/2006/metadata/properties"/>
    <ds:schemaRef ds:uri="http://schemas.microsoft.com/office/infopath/2007/PartnerControls"/>
    <ds:schemaRef ds:uri="7b8fd10d-82db-4106-8c5b-83cd3e4ad2c7"/>
  </ds:schemaRefs>
</ds:datastoreItem>
</file>

<file path=customXml/itemProps3.xml><?xml version="1.0" encoding="utf-8"?>
<ds:datastoreItem xmlns:ds="http://schemas.openxmlformats.org/officeDocument/2006/customXml" ds:itemID="{9EB2AE26-E6D0-4F6B-8269-CB6F368CF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fd10d-82db-4106-8c5b-83cd3e4ad2c7"/>
    <ds:schemaRef ds:uri="abcb2651-95fa-414f-a10c-971ab93c7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2568</vt:lpstr>
      <vt:lpstr>CH4จากบ่อบำบัดไม่เติมอากาศ </vt:lpstr>
      <vt:lpstr>CH4จากseptic tank</vt:lpstr>
      <vt:lpstr>สรุปการคำนวณ ปีฐาน</vt:lpstr>
      <vt:lpstr>EF TGO AR5</vt:lpstr>
      <vt:lpstr>'EF TGO AR5'!Print_Area</vt:lpstr>
      <vt:lpstr>'สรุปการคำนวณ ปี 2568'!Print_Area</vt:lpstr>
      <vt:lpstr>'สรุปการคำนวณ ปีฐาน'!Print_Area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thada</dc:creator>
  <cp:keywords/>
  <dc:description/>
  <cp:lastModifiedBy>TDS</cp:lastModifiedBy>
  <cp:revision/>
  <cp:lastPrinted>2025-06-25T03:29:43Z</cp:lastPrinted>
  <dcterms:created xsi:type="dcterms:W3CDTF">2015-02-17T07:08:20Z</dcterms:created>
  <dcterms:modified xsi:type="dcterms:W3CDTF">2025-07-14T03:30:49Z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0x010100FB289CDA5892614FBD5176687F996656</vt:lpwstr>
  </property>
</Properties>
</file>